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35" yWindow="75" windowWidth="15240" windowHeight="11505" activeTab="0"/>
  </bookViews>
  <sheets>
    <sheet name="取扱い説明" sheetId="1" r:id="rId1"/>
    <sheet name="鉄筋ｺﾝｸﾘｰﾄ造" sheetId="2" r:id="rId2"/>
    <sheet name="鉄骨造" sheetId="3" r:id="rId3"/>
  </sheets>
  <definedNames>
    <definedName name="_xlnm.Print_Area" localSheetId="1">'鉄筋ｺﾝｸﾘｰﾄ造'!$B$2:$S$198</definedName>
    <definedName name="_xlnm.Print_Area" localSheetId="2">'鉄骨造'!$B$2:$S$206</definedName>
  </definedNames>
  <calcPr fullCalcOnLoad="1"/>
</workbook>
</file>

<file path=xl/sharedStrings.xml><?xml version="1.0" encoding="utf-8"?>
<sst xmlns="http://schemas.openxmlformats.org/spreadsheetml/2006/main" count="906" uniqueCount="478">
  <si>
    <t>Ｎ×Ａ</t>
  </si>
  <si>
    <t>√</t>
  </si>
  <si>
    <t>耐震診断標準業務人・日数算定表</t>
  </si>
  <si>
    <t>業務内容</t>
  </si>
  <si>
    <t>方針策定</t>
  </si>
  <si>
    <t>事前協議調整</t>
  </si>
  <si>
    <t>資料収集・整理</t>
  </si>
  <si>
    <t>予備調査計画立案</t>
  </si>
  <si>
    <t>予備調査・診断準備</t>
  </si>
  <si>
    <t>材質調査立会い</t>
  </si>
  <si>
    <t>　　　コンクリートコア採取</t>
  </si>
  <si>
    <t>　　　コンクリートはつり調査</t>
  </si>
  <si>
    <t>　　　鉄筋配筋非破壊検査</t>
  </si>
  <si>
    <t>本調査</t>
  </si>
  <si>
    <t>診断標準業務人・日数計</t>
  </si>
  <si>
    <t>診断標準業務人・日数計（第３の合計）</t>
  </si>
  <si>
    <t>直接人件費</t>
  </si>
  <si>
    <t>諸経費</t>
  </si>
  <si>
    <t>技術経費</t>
  </si>
  <si>
    <t>直接経費</t>
  </si>
  <si>
    <t>特別経費</t>
  </si>
  <si>
    <t>消費税相当額</t>
  </si>
  <si>
    <t>委託料</t>
  </si>
  <si>
    <t>委託料(消費税抜き）</t>
  </si>
  <si>
    <t>A : 対象建物の延べ面積</t>
  </si>
  <si>
    <t>Ｎ : 対象建物の階数（地中梁及び塔屋は除く）</t>
  </si>
  <si>
    <t>Ｓ : 業務の難易度で、次による。</t>
  </si>
  <si>
    <t>・多工期に渡って施工されたもの</t>
  </si>
  <si>
    <t>・使用構造部材が異なる場合（RC造とS造の併用構造 等）</t>
  </si>
  <si>
    <t>階高・階数が異なる層を含む等軸組が複雑なもの</t>
  </si>
  <si>
    <t>体育館等長大スパンを有するもの</t>
  </si>
  <si>
    <t>別途計上（仕様書で数量明示のこと）</t>
  </si>
  <si>
    <t>（第4による経費）</t>
  </si>
  <si>
    <t>（Ａ＋Ｂ＋Ｃ＋Ｄ＋Ｅ＋F)</t>
  </si>
  <si>
    <t>第４</t>
  </si>
  <si>
    <t>直接経費算定表</t>
  </si>
  <si>
    <t>①</t>
  </si>
  <si>
    <t>項目</t>
  </si>
  <si>
    <t>コンクリートコア採取費(鉄筋探査共）</t>
  </si>
  <si>
    <t>同上試験体作成費（両面）</t>
  </si>
  <si>
    <t>圧縮強度試験費（立会・記録経費共）</t>
  </si>
  <si>
    <t>中性化試験</t>
  </si>
  <si>
    <t>コア穴埋め（左官工）</t>
  </si>
  <si>
    <t>下請経費（直上2項の15％）</t>
  </si>
  <si>
    <t>計</t>
  </si>
  <si>
    <t>注：</t>
  </si>
  <si>
    <t>コア抜き箇所数10箇所未満の場合</t>
  </si>
  <si>
    <t>コア抜き箇所数10箇所以上の場合</t>
  </si>
  <si>
    <t>上記単価×</t>
  </si>
  <si>
    <t>はつり工</t>
  </si>
  <si>
    <t>カッター縁切り作業</t>
  </si>
  <si>
    <t>普通作業員</t>
  </si>
  <si>
    <t>世話役</t>
  </si>
  <si>
    <t>左官工</t>
  </si>
  <si>
    <t>塗装工</t>
  </si>
  <si>
    <t>②</t>
  </si>
  <si>
    <t>耐震補強計画策定標準業務人・日数算定表</t>
  </si>
  <si>
    <t xml:space="preserve"> 標準業務人・日数　=　基準業務人・日数×β</t>
  </si>
  <si>
    <t>業務内容</t>
  </si>
  <si>
    <t>βは耐震補強の目的及び精度（仕様書による指定・明示）により補正。</t>
  </si>
  <si>
    <t>改修効果の確認</t>
  </si>
  <si>
    <t>部材設計</t>
  </si>
  <si>
    <t>改修設計図の作成</t>
  </si>
  <si>
    <t>補強に係わる設備的検討</t>
  </si>
  <si>
    <t>報告書の作成</t>
  </si>
  <si>
    <t>標準業務人・日数計</t>
  </si>
  <si>
    <t>0.3＋0.5×</t>
  </si>
  <si>
    <t>建物及び規模の区分</t>
  </si>
  <si>
    <t>2次診断</t>
  </si>
  <si>
    <t>2+3次診断</t>
  </si>
  <si>
    <t>（Ａ）</t>
  </si>
  <si>
    <t>業務人・日数</t>
  </si>
  <si>
    <t xml:space="preserve">面積、階数は建築基準法の算定方法に準ずる。
</t>
  </si>
  <si>
    <t>（但し、ピロテイ等は診断床面積に算入）</t>
  </si>
  <si>
    <t>標準業務人・日数算定式</t>
  </si>
  <si>
    <t>0.01×</t>
  </si>
  <si>
    <t>Ｎ×Ａ</t>
  </si>
  <si>
    <t>図面照合・図面整備</t>
  </si>
  <si>
    <t>0.02×</t>
  </si>
  <si>
    <t>Ｎ×Ａ</t>
  </si>
  <si>
    <t>軸組図・伏図の作成</t>
  </si>
  <si>
    <t>0.05×</t>
  </si>
  <si>
    <t>現地調査</t>
  </si>
  <si>
    <t>──</t>
  </si>
  <si>
    <t xml:space="preserve"> Ａ</t>
  </si>
  <si>
    <t>建物履歴調査</t>
  </si>
  <si>
    <t>本調査計画立案</t>
  </si>
  <si>
    <t>本調査準備</t>
  </si>
  <si>
    <t>0.01×</t>
  </si>
  <si>
    <t>目視調査</t>
  </si>
  <si>
    <t>調査結果整理</t>
  </si>
  <si>
    <t>Ｎ×Ａ</t>
  </si>
  <si>
    <t>(3＋0.1×</t>
  </si>
  <si>
    <t>Ｎ×Ａ</t>
  </si>
  <si>
    <t>(2＋0.1×</t>
  </si>
  <si>
    <t>耐震補強業務人・日数（目的と精度による）(注)</t>
  </si>
  <si>
    <t>同上仕上げ補修（塗装又はｽﾃﾝﾚｽｷｯﾌﾟ)</t>
  </si>
  <si>
    <t xml:space="preserve">： </t>
  </si>
  <si>
    <t xml:space="preserve"> 階</t>
  </si>
  <si>
    <t>単位</t>
  </si>
  <si>
    <t>数量</t>
  </si>
  <si>
    <t>単価</t>
  </si>
  <si>
    <t>費用</t>
  </si>
  <si>
    <t>人</t>
  </si>
  <si>
    <t>式</t>
  </si>
  <si>
    <t>個所</t>
  </si>
  <si>
    <t xml:space="preserve"> 円/本</t>
  </si>
  <si>
    <t>コンクリートコア採取箇所数</t>
  </si>
  <si>
    <t>注：コア抜き箇所数は、構造形態にあわせて計上。</t>
  </si>
  <si>
    <t>本 ×</t>
  </si>
  <si>
    <t xml:space="preserve"> 本</t>
  </si>
  <si>
    <t>コンリートコア圧縮強度調査費</t>
  </si>
  <si>
    <t xml:space="preserve"> 本 ×</t>
  </si>
  <si>
    <t>円/本 ×</t>
  </si>
  <si>
    <t>上記の計の整数値（四捨五入）とする</t>
  </si>
  <si>
    <t>√</t>
  </si>
  <si>
    <t>√</t>
  </si>
  <si>
    <t>√</t>
  </si>
  <si>
    <t>√</t>
  </si>
  <si>
    <t xml:space="preserve">： </t>
  </si>
  <si>
    <t xml:space="preserve"> ㎡</t>
  </si>
  <si>
    <t xml:space="preserve"> 円</t>
  </si>
  <si>
    <t>本</t>
  </si>
  <si>
    <t xml:space="preserve"> 円/個所</t>
  </si>
  <si>
    <t>コンクリートはつり配筋調査箇所数</t>
  </si>
  <si>
    <t>コンクリートはつり配筋調査費</t>
  </si>
  <si>
    <t xml:space="preserve"> カ所</t>
  </si>
  <si>
    <t xml:space="preserve">はつり調査箇所数 ＝ </t>
  </si>
  <si>
    <t xml:space="preserve">円/個所 ＝ </t>
  </si>
  <si>
    <t xml:space="preserve">調査箇所数 ＝ </t>
  </si>
  <si>
    <t>参考</t>
  </si>
  <si>
    <t>＊　業務委託費に含めて入札対象にすることにはそぐわない。</t>
  </si>
  <si>
    <t>エキスパンションジョイントが設置されている場合は、それぞれ別棟の扱いとし、棟別の申請とする。</t>
  </si>
  <si>
    <t>個所×</t>
  </si>
  <si>
    <t>補強に係わる意匠的検討</t>
  </si>
  <si>
    <t>（Ｂ）</t>
  </si>
  <si>
    <t>（Ｃ）</t>
  </si>
  <si>
    <t>（Ｄ）</t>
  </si>
  <si>
    <t>（Ｅ）</t>
  </si>
  <si>
    <t>（Ｆ）</t>
  </si>
  <si>
    <t xml:space="preserve"> 階 ×</t>
  </si>
  <si>
    <t>期 ＝</t>
  </si>
  <si>
    <t>：</t>
  </si>
  <si>
    <t>＝</t>
  </si>
  <si>
    <t xml:space="preserve">※ </t>
  </si>
  <si>
    <t>基準業務人・日数算定式</t>
  </si>
  <si>
    <t>(3+0.1×</t>
  </si>
  <si>
    <t>0.1×</t>
  </si>
  <si>
    <t>(2+0.1×</t>
  </si>
  <si>
    <t>)×Ｓｋ×1/2</t>
  </si>
  <si>
    <t>×1/2</t>
  </si>
  <si>
    <t>)×Ｓｋ×1/4</t>
  </si>
  <si>
    <t>)×Ｓｋ×1/8</t>
  </si>
  <si>
    <t>Ⅰ-1</t>
  </si>
  <si>
    <t>Ⅰ-2</t>
  </si>
  <si>
    <t>Ⅱ-1</t>
  </si>
  <si>
    <t>Ⅱ-2</t>
  </si>
  <si>
    <t>Ⅲ</t>
  </si>
  <si>
    <t>業務人・日数</t>
  </si>
  <si>
    <t>Ｓｋ</t>
  </si>
  <si>
    <t>注）Ⅰ・Ⅱランク(β）の Ⅰ-2、Ⅱ-2は、診断結果で２方向（X軸・Y軸）の補強が必要な場合の係数を示す。</t>
  </si>
  <si>
    <r>
      <t>注）Ｓｋの算定は耐震判定指標値が明確な場合には</t>
    </r>
    <r>
      <rPr>
        <u val="single"/>
        <sz val="10"/>
        <rFont val="ＭＳ Ｐ明朝"/>
        <family val="1"/>
      </rPr>
      <t>表１</t>
    </r>
    <r>
      <rPr>
        <sz val="10"/>
        <rFont val="ＭＳ Ｐ明朝"/>
        <family val="1"/>
      </rPr>
      <t>、不明な場合には</t>
    </r>
    <r>
      <rPr>
        <u val="single"/>
        <sz val="10"/>
        <rFont val="ＭＳ Ｐ明朝"/>
        <family val="1"/>
      </rPr>
      <t>表２</t>
    </r>
    <r>
      <rPr>
        <sz val="10"/>
        <rFont val="ＭＳ Ｐ明朝"/>
        <family val="1"/>
      </rPr>
      <t>による。</t>
    </r>
  </si>
  <si>
    <t>Ｓｋ算定表１</t>
  </si>
  <si>
    <t>現況の構造耐震判定指標値※</t>
  </si>
  <si>
    <t>Ｉｓ≦0.4</t>
  </si>
  <si>
    <t>0.4＜Ｉｓ≦0.5</t>
  </si>
  <si>
    <t>0.5＜Ｉｓ≦0.6</t>
  </si>
  <si>
    <t>0.6＜Ｉｓ≦0.72</t>
  </si>
  <si>
    <t>0.72＜Ｉｓ≦0.9</t>
  </si>
  <si>
    <t>Ｉｓ＝0.6～0.7</t>
  </si>
  <si>
    <t>－</t>
  </si>
  <si>
    <t>Is=0.72～0.76</t>
  </si>
  <si>
    <t>Ｉｓ＝0.9</t>
  </si>
  <si>
    <t>改修後の構造耐震判定指標の目標値</t>
  </si>
  <si>
    <t>　注)ＲＣ造の場合、1次診断で算出された現況Ｉｓ値に0.75を乗じた値を現況の構造耐震判定指標値とする。</t>
  </si>
  <si>
    <t>Ｓｋ算定表２</t>
  </si>
  <si>
    <t>建物建設　年代</t>
  </si>
  <si>
    <t>　　　　 　　　～　昭和46年</t>
  </si>
  <si>
    <t>(注）</t>
  </si>
  <si>
    <t>診断と補強内容の提示を求める場合は、第３に加えて、第５の「補強と精度の目的（β）」より加算が必要。</t>
  </si>
  <si>
    <t>───</t>
  </si>
  <si>
    <t>0.04×</t>
  </si>
  <si>
    <t>)</t>
  </si>
  <si>
    <t>)×1.5</t>
  </si>
  <si>
    <t>)×Ｓ</t>
  </si>
  <si>
    <t>)×Ｓ×1.5</t>
  </si>
  <si>
    <t>（Ａ＋Ｂ＋Ｃ＋Ｄ＋Ｅ）×</t>
  </si>
  <si>
    <t>（B）＝（Ａ）×</t>
  </si>
  <si>
    <t>（C）＝（Ａ+B）×</t>
  </si>
  <si>
    <t>③</t>
  </si>
  <si>
    <t>鉄筋配筋非破壊検査費</t>
  </si>
  <si>
    <t>コンクリート圧縮強度調査</t>
  </si>
  <si>
    <t>配筋調査におけるコンクリートはつり</t>
  </si>
  <si>
    <t>鉄筋配筋非破壊検査</t>
  </si>
  <si>
    <t>円</t>
  </si>
  <si>
    <t>期</t>
  </si>
  <si>
    <t>＝</t>
  </si>
  <si>
    <t>耐震診断</t>
  </si>
  <si>
    <t>－</t>
  </si>
  <si>
    <t>)×1/2</t>
  </si>
  <si>
    <t>β:耐震補強の目的と精度（仕様書で指定、明示）</t>
  </si>
  <si>
    <t>補強工事を行うことを目的とした施工位置、施工方法、工事予算を作成。（構造実施設計を含む）＝Is値を算出</t>
  </si>
  <si>
    <t>区分</t>
  </si>
  <si>
    <t>構造的に最も望ましい補強方法で概略の工事予算を作成。（構造実施設計は含まない）＝Iｓ値を算出</t>
  </si>
  <si>
    <t>Is値を算出しない内容で概略の補強予算を提示</t>
  </si>
  <si>
    <t>適用</t>
  </si>
  <si>
    <t>Ⅰ-2</t>
  </si>
  <si>
    <t>Ⅱ-2</t>
  </si>
  <si>
    <t>現況の構造耐震判定指標値 ※</t>
  </si>
  <si>
    <t>Is＝</t>
  </si>
  <si>
    <t>昭和53年　～　昭和56年</t>
  </si>
  <si>
    <t>※ ＲＣ造の場合、1次診断で算出された現況Ｉｓ値に0.75を乗じた値を現況の構造耐震判定指標値とする。</t>
  </si>
  <si>
    <t>昭和47年～昭和53年</t>
  </si>
  <si>
    <t>昭和53年～昭和56年</t>
  </si>
  <si>
    <t>　～昭和46年</t>
  </si>
  <si>
    <t>Ｓk＝</t>
  </si>
  <si>
    <t xml:space="preserve">単価: </t>
  </si>
  <si>
    <t>昭和47年　～　昭和52年</t>
  </si>
  <si>
    <t>Is値不明な場合には右リストで建設年代を選択して下さい。</t>
  </si>
  <si>
    <t>現有耐震性能の検討
 改修方針の立案</t>
  </si>
  <si>
    <t>委託業務名</t>
  </si>
  <si>
    <t>契約締結日 ～</t>
  </si>
  <si>
    <t>耐震補強計画策定</t>
  </si>
  <si>
    <t>昭和</t>
  </si>
  <si>
    <t xml:space="preserve"> 年</t>
  </si>
  <si>
    <t xml:space="preserve"> 階</t>
  </si>
  <si>
    <t xml:space="preserve"> ㎡</t>
  </si>
  <si>
    <t>委 託 場 所</t>
  </si>
  <si>
    <t>委 託 期 間</t>
  </si>
  <si>
    <t>建 物 用 途</t>
  </si>
  <si>
    <t>建　築　年</t>
  </si>
  <si>
    <t>階　　　　数</t>
  </si>
  <si>
    <t>床　面　積</t>
  </si>
  <si>
    <t>構　　造</t>
  </si>
  <si>
    <t>ｺﾝｸﾘｰﾄ圧縮強度調査</t>
  </si>
  <si>
    <t>配筋調査におけるｺﾝｸﾘｰﾄはつり</t>
  </si>
  <si>
    <t>耐震診断詳細</t>
  </si>
  <si>
    <t>業務委託料</t>
  </si>
  <si>
    <t>耐震補強計画策定詳細</t>
  </si>
  <si>
    <t>委託料算定</t>
  </si>
  <si>
    <t>　実施設計を委託する場合は、上記経費に加えて、耐震補強以外の部分の意匠設計に係る実施設計業務経費の加算が
   必要となります。（大規模改修も同じです。）</t>
  </si>
  <si>
    <t>補強計画ランクβ</t>
  </si>
  <si>
    <t>Ⅰ</t>
  </si>
  <si>
    <t>Ⅱ</t>
  </si>
  <si>
    <t>Ｓk</t>
  </si>
  <si>
    <t>Ⅰ-1</t>
  </si>
  <si>
    <t>Ⅱ-1</t>
  </si>
  <si>
    <t>Ⅱ</t>
  </si>
  <si>
    <t xml:space="preserve"> Ⅲ</t>
  </si>
  <si>
    <t>補　強　計　画　の　ラ　ン　ク</t>
  </si>
  <si>
    <t>Ⅰ-1で診断結果で2方向(X軸・Y軸)の補強が必要な場合。</t>
  </si>
  <si>
    <t>Ⅱ-1で診断結果で2方向(X軸・Y軸)の補強が必要な場合。</t>
  </si>
  <si>
    <t>別　　　　途</t>
  </si>
  <si>
    <t xml:space="preserve"> ㎡</t>
  </si>
  <si>
    <t xml:space="preserve">： </t>
  </si>
  <si>
    <t>（Ｃ）</t>
  </si>
  <si>
    <t>（C）＝（Ａ+B）×</t>
  </si>
  <si>
    <t>（Ｄ）</t>
  </si>
  <si>
    <t>（Ｅ）</t>
  </si>
  <si>
    <t>（Ｆ）</t>
  </si>
  <si>
    <t>（Ａ＋Ｂ＋Ｃ＋Ｄ＋Ｅ）×</t>
  </si>
  <si>
    <t xml:space="preserve"> ㎡</t>
  </si>
  <si>
    <t>Is＝</t>
  </si>
  <si>
    <t>Is＝</t>
  </si>
  <si>
    <t>Ⅰ-2</t>
  </si>
  <si>
    <t>Ⅱ</t>
  </si>
  <si>
    <t>Ⅱ-1</t>
  </si>
  <si>
    <t>Ⅱ-2</t>
  </si>
  <si>
    <t>標準業務人・日数算定式</t>
  </si>
  <si>
    <t>0.01×</t>
  </si>
  <si>
    <t>√</t>
  </si>
  <si>
    <t>───</t>
  </si>
  <si>
    <t>Ｎ×Ａ</t>
  </si>
  <si>
    <t>図面照合・図面整備</t>
  </si>
  <si>
    <t>0.02×</t>
  </si>
  <si>
    <t>───</t>
  </si>
  <si>
    <t>軸組図・伏図の作成</t>
  </si>
  <si>
    <t>0.05×</t>
  </si>
  <si>
    <t>現地調査</t>
  </si>
  <si>
    <t>──</t>
  </si>
  <si>
    <t xml:space="preserve"> Ａ</t>
  </si>
  <si>
    <t>建物履歴調査</t>
  </si>
  <si>
    <t>本調査計画立案</t>
  </si>
  <si>
    <t>本調査準備</t>
  </si>
  <si>
    <t>目視調査</t>
  </si>
  <si>
    <t>0.04×</t>
  </si>
  <si>
    <t>調査結果整理</t>
  </si>
  <si>
    <t>0.04×</t>
  </si>
  <si>
    <t>√</t>
  </si>
  <si>
    <t>───</t>
  </si>
  <si>
    <t>Ｎ×Ａ</t>
  </si>
  <si>
    <t>(3＋0.1×</t>
  </si>
  <si>
    <t>√</t>
  </si>
  <si>
    <t>───</t>
  </si>
  <si>
    <t>)×Ｓ×1.5</t>
  </si>
  <si>
    <t>Ｎ×Ａ</t>
  </si>
  <si>
    <t>(2＋0.1×</t>
  </si>
  <si>
    <t>)×1.5</t>
  </si>
  <si>
    <t>上記の計の整数値（四捨五入）とする</t>
  </si>
  <si>
    <t>第５に示す耐震補強標準業務人・日数（Ⅰ）(注)</t>
  </si>
  <si>
    <t>＝</t>
  </si>
  <si>
    <t>補強計画ランクβ</t>
  </si>
  <si>
    <t>業務人・日数</t>
  </si>
  <si>
    <t>Ⅰ</t>
  </si>
  <si>
    <t>Ⅱ</t>
  </si>
  <si>
    <t>0.3＋0.5×</t>
  </si>
  <si>
    <t>Ｓｋ</t>
  </si>
  <si>
    <t>(3+0.1×</t>
  </si>
  <si>
    <t>)×Ｓｋ×1/2</t>
  </si>
  <si>
    <t>0.1×</t>
  </si>
  <si>
    <t>√</t>
  </si>
  <si>
    <t>───</t>
  </si>
  <si>
    <t>×1/2</t>
  </si>
  <si>
    <t>Ｎ×Ａ</t>
  </si>
  <si>
    <t>0.1×</t>
  </si>
  <si>
    <t>√</t>
  </si>
  <si>
    <t>───</t>
  </si>
  <si>
    <t>×1/2</t>
  </si>
  <si>
    <t>－</t>
  </si>
  <si>
    <t>Ｎ×Ａ</t>
  </si>
  <si>
    <t>(3+0.1×</t>
  </si>
  <si>
    <t>)×Ｓｋ×1/4</t>
  </si>
  <si>
    <t>)×Ｓｋ×1/8</t>
  </si>
  <si>
    <t>(2+0.1×</t>
  </si>
  <si>
    <t>√</t>
  </si>
  <si>
    <t>───</t>
  </si>
  <si>
    <t>)×1/2</t>
  </si>
  <si>
    <t>Ｎ×Ａ</t>
  </si>
  <si>
    <t>Ｓk</t>
  </si>
  <si>
    <t>（Ｂ）</t>
  </si>
  <si>
    <t>（B）＝（Ａ）×</t>
  </si>
  <si>
    <t>Ⅰ</t>
  </si>
  <si>
    <t>Ⅰ-1</t>
  </si>
  <si>
    <t>上記の計の整数値（四捨五入）とする</t>
  </si>
  <si>
    <t>　　　仕口超音波検査</t>
  </si>
  <si>
    <t>耐震性能把握</t>
  </si>
  <si>
    <t>耐震指標の算定</t>
  </si>
  <si>
    <t>報告書の作成</t>
  </si>
  <si>
    <t>報告書の作成</t>
  </si>
  <si>
    <t>3次診断</t>
  </si>
  <si>
    <t>耐震性
能把握</t>
  </si>
  <si>
    <r>
      <t>S</t>
    </r>
    <r>
      <rPr>
        <vertAlign val="subscript"/>
        <sz val="10"/>
        <rFont val="ＭＳ Ｐ明朝"/>
        <family val="1"/>
      </rPr>
      <t>1</t>
    </r>
  </si>
  <si>
    <t>・主要構造部が異なる場合(RC造S造併用構造等)</t>
  </si>
  <si>
    <t>1.3</t>
  </si>
  <si>
    <t>梁柱材がH鋼の場合</t>
  </si>
  <si>
    <t>山形鋼によるﾄﾗｽﾄの場合</t>
  </si>
  <si>
    <t>・全体がS造の場合</t>
  </si>
  <si>
    <t>・1FがRC造で上層がS増の場合</t>
  </si>
  <si>
    <r>
      <t>S</t>
    </r>
    <r>
      <rPr>
        <vertAlign val="subscript"/>
        <sz val="10"/>
        <rFont val="ＭＳ Ｐ明朝"/>
        <family val="1"/>
      </rPr>
      <t>1</t>
    </r>
  </si>
  <si>
    <t>1.2</t>
  </si>
  <si>
    <t>1.0</t>
  </si>
  <si>
    <r>
      <t>S</t>
    </r>
    <r>
      <rPr>
        <vertAlign val="subscript"/>
        <sz val="10"/>
        <rFont val="ＭＳ Ｐ明朝"/>
        <family val="1"/>
      </rPr>
      <t>21</t>
    </r>
  </si>
  <si>
    <r>
      <t>S</t>
    </r>
    <r>
      <rPr>
        <vertAlign val="subscript"/>
        <sz val="10"/>
        <rFont val="ＭＳ Ｐ明朝"/>
        <family val="1"/>
      </rPr>
      <t>22</t>
    </r>
  </si>
  <si>
    <t>S＝</t>
  </si>
  <si>
    <t>＝</t>
  </si>
  <si>
    <r>
      <t>×S</t>
    </r>
    <r>
      <rPr>
        <vertAlign val="subscript"/>
        <sz val="10"/>
        <rFont val="ＭＳ Ｐ明朝"/>
        <family val="1"/>
      </rPr>
      <t>21</t>
    </r>
  </si>
  <si>
    <r>
      <t>×S</t>
    </r>
    <r>
      <rPr>
        <vertAlign val="subscript"/>
        <sz val="10"/>
        <rFont val="ＭＳ Ｐ明朝"/>
        <family val="1"/>
      </rPr>
      <t>22</t>
    </r>
  </si>
  <si>
    <t>　注） 補強設計、あるいは総合判定の場合はⅠランクの耐震補強をいう。</t>
  </si>
  <si>
    <t>上記結果報告書・写真共</t>
  </si>
  <si>
    <t>上記結果報告書･写真共</t>
  </si>
  <si>
    <t>注)１階がRC造の場合3箇所以上の調査を行う。</t>
  </si>
  <si>
    <t xml:space="preserve">直接人件費単価 </t>
  </si>
  <si>
    <t>技 士 (C)</t>
  </si>
  <si>
    <t>仕口超音波検査</t>
  </si>
  <si>
    <t>注）一つの柱・梁接合部あたり、調査箇所は１０箇所程度とする。</t>
  </si>
  <si>
    <t>④</t>
  </si>
  <si>
    <t>仕口超音波検査費用</t>
  </si>
  <si>
    <t>検査工</t>
  </si>
  <si>
    <t>補助員</t>
  </si>
  <si>
    <t>機械器具運搬・損料</t>
  </si>
  <si>
    <t>上記報告書作成</t>
  </si>
  <si>
    <t>仕口超音波検査費用＝</t>
  </si>
  <si>
    <t>コンリートコア圧縮強度調査費＝</t>
  </si>
  <si>
    <t>コンクリートはつり配筋調査費＝</t>
  </si>
  <si>
    <t>＋</t>
  </si>
  <si>
    <t>＝</t>
  </si>
  <si>
    <t>足場費</t>
  </si>
  <si>
    <t xml:space="preserve">＝ </t>
  </si>
  <si>
    <t>＋　②</t>
  </si>
  <si>
    <t>＋　③</t>
  </si>
  <si>
    <t>＋　④</t>
  </si>
  <si>
    <t xml:space="preserve">直接経費合計 ＝ ① </t>
  </si>
  <si>
    <t>＋　②</t>
  </si>
  <si>
    <t>直接経費合計 ＝ ①</t>
  </si>
  <si>
    <t>建築物の耐震診断・耐震補強計画策定業務委託料の算定(RC造用)</t>
  </si>
  <si>
    <t>建築物の耐震診断・耐震補強計画策定業務委託料の算定(S造用)</t>
  </si>
  <si>
    <t>日付の入力は右例により入力して下さい。</t>
  </si>
  <si>
    <t>例 ： 平成22年9月10日→10/9/10</t>
  </si>
  <si>
    <t>委 託 内 容</t>
  </si>
  <si>
    <t xml:space="preserve">耐震性能把握 : </t>
  </si>
  <si>
    <t>取扱い説明</t>
  </si>
  <si>
    <t>このﾌｧｲﾙはﾃﾝﾌﾟﾚｰﾄとして使用します。最初に、上書保存を防止する為に適当な名前で保存して下さい。</t>
  </si>
  <si>
    <t>この計算書は、日事連中四国ブロック協議会発行の「建築物耐震診断及び耐震補強策定業務委託料算定基準」</t>
  </si>
  <si>
    <t xml:space="preserve"> 色のｾﾙはﾜｰﾌﾟﾛ手入力で入力します。</t>
  </si>
  <si>
    <t xml:space="preserve"> 色のｾﾙはﾄﾞﾛｯﾌﾟﾀﾞｳﾝﾘｽﾄより選択入力します。</t>
  </si>
  <si>
    <t xml:space="preserve"> 色のｾﾙは計算式を入力したｾﾙで自動計算します。</t>
  </si>
  <si>
    <t>委託業務名、委託場所、委託期間、建物用途、構造、建築年、階数、床面積はそれぞれ手入力します。</t>
  </si>
  <si>
    <t>直接人件費単価 技師(Ｃ)を半角数値で入力します。</t>
  </si>
  <si>
    <t>建設物価に公表されています。</t>
  </si>
  <si>
    <t>特別経費は、出張旅費、その他特別に依頼する場合必要となる費用（通常は計上しない）です。</t>
  </si>
  <si>
    <t>消費税率も変更できます。</t>
  </si>
  <si>
    <t>平面形状が複雑なもの　（1.2～1.3）</t>
  </si>
  <si>
    <t>階 ×</t>
  </si>
  <si>
    <t>階数、床面積は計算結果には反映します、他は反映しません。</t>
  </si>
  <si>
    <t>日付の入力は、半角で西暦を / で区切って入力します。</t>
  </si>
  <si>
    <t>階数、床面積は建築基準法の算定方法に準じます、但しﾋﾟﾛﾃｨｰ等は面積に参入します。</t>
  </si>
  <si>
    <t>諸経費率は、通常は 0.92 で変更できます。(100円未満切捨て)</t>
  </si>
  <si>
    <t>技術経費率は、通常は 0.2 で変更できます。(100円未満切捨て)</t>
  </si>
  <si>
    <t>委託内容の項目をﾄﾞﾛｯﾌﾟﾀﾞｳﾝﾘｽﾄで○を選択入力して下さい。入力のない項目は、計算しません。</t>
  </si>
  <si>
    <t>耐震性能把握で、2次診断、2+3次診断のどちらかをﾄﾞﾛｯﾌﾟﾀﾞｳﾝﾘｽﾄで選択入力して下さい。</t>
  </si>
  <si>
    <t>平面形状が複雑なものの場合は○の他に数値も入力して下さい。</t>
  </si>
  <si>
    <t>複数選択可能です。入力のない場合の業務の難易度は 1 になります。</t>
  </si>
  <si>
    <t>現況の構造耐震判定指標値、及び改修後の構造耐震判定指標の目標値のIsの数値を入力します。</t>
  </si>
  <si>
    <t>Isが不明な場合は、ﾋﾟﾝｸ色のｾﾙのﾄﾞﾛｯﾌﾟﾀﾞｳﾝﾘｽﾄで建築年代を選択入力します。</t>
  </si>
  <si>
    <t>計画補強のﾗﾝｸをﾄﾞﾛｯﾌﾟﾀﾞｳﾝﾘｽﾄで選択入力します。</t>
  </si>
  <si>
    <t>ｺﾝｸﾘｰﾄ圧縮強度調査、配筋調査におけるｺﾝｸﾘｰﾄはつり、鉄筋配筋非破壊検査の数値を入力します。</t>
  </si>
  <si>
    <t>○</t>
  </si>
  <si>
    <t>入力を変更する時は、消去してから入力しなおして下さい。</t>
  </si>
  <si>
    <t xml:space="preserve">足場費: </t>
  </si>
  <si>
    <r>
      <t>Ｓk</t>
    </r>
    <r>
      <rPr>
        <vertAlign val="subscript"/>
        <sz val="10"/>
        <rFont val="ＭＳ 明朝"/>
        <family val="1"/>
      </rPr>
      <t>1</t>
    </r>
    <r>
      <rPr>
        <sz val="10"/>
        <rFont val="ＭＳ 明朝"/>
        <family val="1"/>
      </rPr>
      <t>＝</t>
    </r>
  </si>
  <si>
    <r>
      <t>Sk</t>
    </r>
    <r>
      <rPr>
        <vertAlign val="subscript"/>
        <sz val="10"/>
        <rFont val="ＭＳ Ｐ明朝"/>
        <family val="1"/>
      </rPr>
      <t>1</t>
    </r>
  </si>
  <si>
    <t>診断内容の把握と図書作成経費</t>
  </si>
  <si>
    <t>（第３の人・日数）×0.5</t>
  </si>
  <si>
    <t>耐震補強標準業務人・日数計</t>
  </si>
  <si>
    <t>標準業務人・日数計</t>
  </si>
  <si>
    <t>（第３の人・日数）×0.5＋第５</t>
  </si>
  <si>
    <t>業務の難易度に適合する項目をﾄﾞﾛｯﾌﾟﾀﾞｳﾝﾘｽﾄで○を選択入力して下さい。</t>
  </si>
  <si>
    <r>
      <t>S</t>
    </r>
    <r>
      <rPr>
        <vertAlign val="subscript"/>
        <sz val="10"/>
        <rFont val="ＭＳ 明朝"/>
        <family val="1"/>
      </rPr>
      <t xml:space="preserve">1 </t>
    </r>
    <r>
      <rPr>
        <sz val="10"/>
        <rFont val="ＭＳ 明朝"/>
        <family val="1"/>
      </rPr>
      <t>は</t>
    </r>
    <r>
      <rPr>
        <sz val="10"/>
        <rFont val="ＭＳ 明朝"/>
        <family val="1"/>
      </rPr>
      <t>複数選択可能です。入力のない場合は 1 になります。</t>
    </r>
  </si>
  <si>
    <r>
      <t>S</t>
    </r>
    <r>
      <rPr>
        <vertAlign val="subscript"/>
        <sz val="10"/>
        <rFont val="ＭＳ 明朝"/>
        <family val="1"/>
      </rPr>
      <t xml:space="preserve">21 </t>
    </r>
    <r>
      <rPr>
        <sz val="10"/>
        <rFont val="ＭＳ 明朝"/>
        <family val="1"/>
      </rPr>
      <t>S</t>
    </r>
    <r>
      <rPr>
        <vertAlign val="subscript"/>
        <sz val="10"/>
        <rFont val="ＭＳ 明朝"/>
        <family val="1"/>
      </rPr>
      <t xml:space="preserve">22 </t>
    </r>
    <r>
      <rPr>
        <sz val="10"/>
        <rFont val="ＭＳ 明朝"/>
        <family val="1"/>
      </rPr>
      <t>はどちらかを選択して下さい。</t>
    </r>
  </si>
  <si>
    <t>ｺﾝｸﾘｰﾄ圧縮強度調査、配筋調査におけるｺﾝｸﾘｰﾄはつり、仕口超音波検査、</t>
  </si>
  <si>
    <t>鉄筋配筋非破壊検査の数値を入力します。</t>
  </si>
  <si>
    <t>業務の難易度に適合する項目をﾄﾞﾛｯﾌﾟﾀﾞｳﾝﾘｽﾄで○を選択入力します。</t>
  </si>
  <si>
    <t>ｺﾝｸﾘｰﾄ圧縮強度調査費、配筋調査におけるｺﾝｸﾘｰﾄはつりの表内の単価を入力します。</t>
  </si>
  <si>
    <t>入力する項目は以上です。</t>
  </si>
  <si>
    <t>ｺﾝｸﾘｰﾄ圧縮強度調査費、配筋調査におけるｺﾝｸﾘｰﾄはつり、仕口超音波検査費用の表内の単価を入力します。</t>
  </si>
  <si>
    <t>Sk＝</t>
  </si>
  <si>
    <t>第３</t>
  </si>
  <si>
    <t>第５</t>
  </si>
  <si>
    <t>入力方法は、それぞれのｼｰﾄの表の右側に記載してあります。</t>
  </si>
  <si>
    <t>（Ａ＋Ｂ＋Ｃ＋Ｄ＋Ｅ＋F＋Ｇ)</t>
  </si>
  <si>
    <t>500㎡未満</t>
  </si>
  <si>
    <t>500以上～1000未満</t>
  </si>
  <si>
    <t>1000以上～1500未満</t>
  </si>
  <si>
    <r>
      <t>1500以上～</t>
    </r>
    <r>
      <rPr>
        <sz val="10"/>
        <rFont val="ＭＳ 明朝"/>
        <family val="1"/>
      </rPr>
      <t>20</t>
    </r>
    <r>
      <rPr>
        <sz val="10"/>
        <rFont val="ＭＳ 明朝"/>
        <family val="1"/>
      </rPr>
      <t>00未満</t>
    </r>
  </si>
  <si>
    <t>鉄筋コンクリート造</t>
  </si>
  <si>
    <r>
      <t>20</t>
    </r>
    <r>
      <rPr>
        <sz val="10"/>
        <rFont val="ＭＳ 明朝"/>
        <family val="1"/>
      </rPr>
      <t>00以上～</t>
    </r>
    <r>
      <rPr>
        <sz val="10"/>
        <rFont val="ＭＳ 明朝"/>
        <family val="1"/>
      </rPr>
      <t>25</t>
    </r>
    <r>
      <rPr>
        <sz val="10"/>
        <rFont val="ＭＳ 明朝"/>
        <family val="1"/>
      </rPr>
      <t>00未満</t>
    </r>
  </si>
  <si>
    <r>
      <t>2</t>
    </r>
    <r>
      <rPr>
        <sz val="10"/>
        <rFont val="ＭＳ 明朝"/>
        <family val="1"/>
      </rPr>
      <t>500以上～</t>
    </r>
    <r>
      <rPr>
        <sz val="10"/>
        <rFont val="ＭＳ 明朝"/>
        <family val="1"/>
      </rPr>
      <t>30</t>
    </r>
    <r>
      <rPr>
        <sz val="10"/>
        <rFont val="ＭＳ 明朝"/>
        <family val="1"/>
      </rPr>
      <t>00未満</t>
    </r>
  </si>
  <si>
    <r>
      <t>30</t>
    </r>
    <r>
      <rPr>
        <sz val="10"/>
        <rFont val="ＭＳ 明朝"/>
        <family val="1"/>
      </rPr>
      <t>00以上～</t>
    </r>
    <r>
      <rPr>
        <sz val="10"/>
        <rFont val="ＭＳ 明朝"/>
        <family val="1"/>
      </rPr>
      <t>50</t>
    </r>
    <r>
      <rPr>
        <sz val="10"/>
        <rFont val="ＭＳ 明朝"/>
        <family val="1"/>
      </rPr>
      <t>00未満</t>
    </r>
  </si>
  <si>
    <r>
      <t>50</t>
    </r>
    <r>
      <rPr>
        <sz val="10"/>
        <rFont val="ＭＳ 明朝"/>
        <family val="1"/>
      </rPr>
      <t>00以上～</t>
    </r>
    <r>
      <rPr>
        <sz val="10"/>
        <rFont val="ＭＳ 明朝"/>
        <family val="1"/>
      </rPr>
      <t>100</t>
    </r>
    <r>
      <rPr>
        <sz val="10"/>
        <rFont val="ＭＳ 明朝"/>
        <family val="1"/>
      </rPr>
      <t>00未満</t>
    </r>
  </si>
  <si>
    <r>
      <t>1</t>
    </r>
    <r>
      <rPr>
        <sz val="10"/>
        <rFont val="ＭＳ 明朝"/>
        <family val="1"/>
      </rPr>
      <t>00</t>
    </r>
    <r>
      <rPr>
        <sz val="10"/>
        <rFont val="ＭＳ 明朝"/>
        <family val="1"/>
      </rPr>
      <t>00以上</t>
    </r>
  </si>
  <si>
    <t>上記表は、鉄筋ｺﾝｸﾘｰﾄ造の2次診断の料金で、それ以外については徳島県建築設計事務所協会のﾎｰﾑﾍﾟｰｼﾞを参照して下さい。</t>
  </si>
  <si>
    <t>業務人計</t>
  </si>
  <si>
    <t xml:space="preserve"> 円</t>
  </si>
  <si>
    <t>人 ×</t>
  </si>
  <si>
    <t>配筋調査におけるコンクリートはつり（1箇所分）［平成 20年度用］</t>
  </si>
  <si>
    <t>コンクリート圧縮強度調査費（3本分）［平成 20年度用］</t>
  </si>
  <si>
    <t>①仕口超音波検査経費 ［平成 20年度用］</t>
  </si>
  <si>
    <t>①仕口超音波検査 (2箇所分) ［平成 20年度用］</t>
  </si>
  <si>
    <t>配筋調査におけるコンクリートはつり（1箇所分） ［平成 20年度用］</t>
  </si>
  <si>
    <t>コンクリート圧縮強度調査費（3本分） ［平成 20年度用］</t>
  </si>
  <si>
    <t>　耐震補強計画の内容について耐震診断評定委員会の判定評定を求める場合の依頼内容は、「補強ランクⅠ」に該当し、
   別途評定手数料が必要となります。</t>
  </si>
  <si>
    <t>　（補強内容について耐震診断等評定委員会に諮る場合のランクはⅠランクに該当する。）</t>
  </si>
  <si>
    <t>＊　建築物耐震診断評定委員会の判定評定を受ける場合、評定手数料は別途（下記参照）。</t>
  </si>
  <si>
    <t>＊　建築物耐震診断評定委員会の判定評定は別途とする。</t>
  </si>
  <si>
    <t>耐震診断評定</t>
  </si>
  <si>
    <t>総合評定</t>
  </si>
  <si>
    <t>総合評定とは耐震診断評定と耐震改修評定の両方を同時に評定する場合。</t>
  </si>
  <si>
    <t>「四国耐震診断評定委員会」への審査申請手数料</t>
  </si>
  <si>
    <t>「四国耐震診断評定委員会」への審査申請手数料（単位：円）　（消費税含む）</t>
  </si>
  <si>
    <t>耐震補強設計評定</t>
  </si>
  <si>
    <t>　に基づいて作成してあります。</t>
  </si>
  <si>
    <t>このﾌｧｲﾙの内容は、「建築物耐震診断及び耐震補強業務委託料算定基準_2」と同じものです。</t>
  </si>
  <si>
    <t>「建築物耐震診断及び耐震補強業務委託料算定基準_1」は単物件用で、</t>
  </si>
  <si>
    <t>　「建築物耐震診断及び耐震補強業務委託料算定基準_2」は複数件数保存できるように作成してあります。</t>
  </si>
  <si>
    <t>通常は、「建築物耐震診断及び耐震補強業務委託料算定基準_2」を使用します。</t>
  </si>
  <si>
    <t>免責事項</t>
  </si>
  <si>
    <t>当プログラムのご利用につき、何らかのトラブルや損失・損害等につきましては一切責任を問わないものとします。</t>
  </si>
  <si>
    <t>自己の責任の上でご利用下さい。</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</si>
</sst>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numFmt numFmtId="177" formatCode="0\ &quot;円&quot;"/>
    <numFmt numFmtId="178" formatCode="#,##0_ "/>
    <numFmt numFmtId="179" formatCode="0_ "/>
    <numFmt numFmtId="180" formatCode="0.00_ "/>
    <numFmt numFmtId="181" formatCode="#,##0_ \ \ "/>
    <numFmt numFmtId="182" formatCode="0.00_);[Red]\(0.00\)"/>
    <numFmt numFmtId="183" formatCode="0.0_ "/>
    <numFmt numFmtId="184" formatCode="[$-411]ggge&quot;年&quot;m&quot;月&quot;d&quot;日&quot;;@"/>
    <numFmt numFmtId="185" formatCode="0_);[Red]\(0\)"/>
    <numFmt numFmtId="186" formatCode="#,##0_ &quot;円 &quot;"/>
    <numFmt numFmtId="187" formatCode="#,##0_);[Red]\(#,##0\)"/>
    <numFmt numFmtId="188" formatCode="#,##0\ &quot;円&quot;"/>
  </numFmts>
  <fonts count="51">
    <font>
      <sz val="10"/>
      <name val="ＭＳ 明朝"/>
      <family val="1"/>
    </font>
    <font>
      <sz val="6"/>
      <name val="ＭＳ 明朝"/>
      <family val="1"/>
    </font>
    <font>
      <sz val="14"/>
      <name val="ＭＳ ゴシック"/>
      <family val="3"/>
    </font>
    <font>
      <sz val="10"/>
      <name val="ＭＳ Ｐ明朝"/>
      <family val="1"/>
    </font>
    <font>
      <sz val="14"/>
      <name val="ＭＳ Ｐ明朝"/>
      <family val="1"/>
    </font>
    <font>
      <u val="single"/>
      <sz val="10"/>
      <color indexed="12"/>
      <name val="ＭＳ 明朝"/>
      <family val="1"/>
    </font>
    <font>
      <u val="single"/>
      <sz val="10"/>
      <color indexed="36"/>
      <name val="ＭＳ 明朝"/>
      <family val="1"/>
    </font>
    <font>
      <u val="single"/>
      <sz val="10"/>
      <name val="ＭＳ Ｐ明朝"/>
      <family val="1"/>
    </font>
    <font>
      <sz val="9"/>
      <name val="MS UI Gothic"/>
      <family val="3"/>
    </font>
    <font>
      <sz val="10"/>
      <name val="ＭＳ ゴシック"/>
      <family val="3"/>
    </font>
    <font>
      <sz val="10"/>
      <color indexed="12"/>
      <name val="ＭＳ ゴシック"/>
      <family val="3"/>
    </font>
    <font>
      <vertAlign val="subscript"/>
      <sz val="10"/>
      <name val="ＭＳ Ｐ明朝"/>
      <family val="1"/>
    </font>
    <font>
      <sz val="10"/>
      <color indexed="8"/>
      <name val="ＭＳ Ｐ明朝"/>
      <family val="1"/>
    </font>
    <font>
      <sz val="6"/>
      <name val="ＭＳ Ｐゴシック"/>
      <family val="3"/>
    </font>
    <font>
      <vertAlign val="subscript"/>
      <sz val="10"/>
      <name val="ＭＳ 明朝"/>
      <family val="1"/>
    </font>
    <font>
      <sz val="9"/>
      <name val="ＭＳ Ｐ明朝"/>
      <family val="1"/>
    </font>
    <font>
      <sz val="12"/>
      <name val="ＭＳ Ｐ明朝"/>
      <family val="1"/>
    </font>
    <font>
      <i/>
      <sz val="11"/>
      <color indexed="23"/>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26"/>
        <bgColor indexed="64"/>
      </patternFill>
    </fill>
    <fill>
      <patternFill patternType="solid">
        <fgColor indexed="24"/>
        <bgColor indexed="64"/>
      </patternFill>
    </fill>
    <fill>
      <patternFill patternType="solid">
        <fgColor indexed="25"/>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color indexed="63"/>
      </bottom>
    </border>
    <border>
      <left>
        <color indexed="63"/>
      </left>
      <right>
        <color indexed="63"/>
      </right>
      <top style="thin"/>
      <bottom>
        <color indexed="63"/>
      </bottom>
    </border>
    <border>
      <left>
        <color indexed="63"/>
      </left>
      <right>
        <color indexed="63"/>
      </right>
      <top>
        <color indexed="63"/>
      </top>
      <bottom style="hair"/>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style="thin"/>
      <top style="thin"/>
      <bottom style="thin"/>
    </border>
    <border>
      <left>
        <color indexed="63"/>
      </left>
      <right style="thin"/>
      <top style="thin"/>
      <bottom style="double"/>
    </border>
    <border>
      <left>
        <color indexed="63"/>
      </left>
      <right style="thin"/>
      <top>
        <color indexed="63"/>
      </top>
      <bottom>
        <color indexed="63"/>
      </bottom>
    </border>
    <border>
      <left style="thin"/>
      <right>
        <color indexed="63"/>
      </right>
      <top style="thin"/>
      <bottom style="thin"/>
    </border>
    <border>
      <left style="thin"/>
      <right>
        <color indexed="63"/>
      </right>
      <top style="thin"/>
      <bottom style="double"/>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double"/>
    </border>
    <border>
      <left style="thin"/>
      <right style="thin"/>
      <top style="hair"/>
      <bottom style="hair"/>
    </border>
    <border>
      <left style="thin"/>
      <right style="thin"/>
      <top style="hair"/>
      <bottom style="thin"/>
    </border>
    <border>
      <left style="thin"/>
      <right style="thin"/>
      <top style="thin"/>
      <bottom style="thin"/>
    </border>
    <border>
      <left style="hair"/>
      <right style="thin"/>
      <top style="thin"/>
      <bottom style="hair"/>
    </border>
    <border>
      <left style="hair"/>
      <right style="thin"/>
      <top style="hair"/>
      <bottom style="thin"/>
    </border>
    <border>
      <left style="hair"/>
      <right style="hair"/>
      <top style="thin"/>
      <bottom style="hair"/>
    </border>
    <border>
      <left>
        <color indexed="63"/>
      </left>
      <right>
        <color indexed="63"/>
      </right>
      <top style="hair"/>
      <bottom style="hair"/>
    </border>
    <border>
      <left>
        <color indexed="63"/>
      </left>
      <right style="thin"/>
      <top style="hair"/>
      <bottom style="hair"/>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hair"/>
      <right style="hair"/>
      <top style="hair"/>
      <bottom style="thin"/>
    </border>
    <border>
      <left style="hair"/>
      <right>
        <color indexed="63"/>
      </right>
      <top style="hair"/>
      <bottom style="thin"/>
    </border>
    <border>
      <left style="hair"/>
      <right>
        <color indexed="63"/>
      </right>
      <top style="thin"/>
      <bottom style="hair"/>
    </border>
    <border>
      <left style="thin"/>
      <right>
        <color indexed="63"/>
      </right>
      <top style="thin"/>
      <bottom style="hair"/>
    </border>
    <border>
      <left style="thin"/>
      <right>
        <color indexed="63"/>
      </right>
      <top style="hair"/>
      <bottom style="thin"/>
    </border>
    <border>
      <left style="thin"/>
      <right>
        <color indexed="63"/>
      </right>
      <top style="hair"/>
      <bottom style="hair"/>
    </border>
    <border>
      <left>
        <color indexed="63"/>
      </left>
      <right>
        <color indexed="63"/>
      </right>
      <top style="thin"/>
      <bottom style="hair"/>
    </border>
    <border>
      <left>
        <color indexed="63"/>
      </left>
      <right>
        <color indexed="63"/>
      </right>
      <top style="hair"/>
      <bottom style="thin"/>
    </border>
    <border>
      <left>
        <color indexed="63"/>
      </left>
      <right style="thin"/>
      <top style="thin"/>
      <bottom style="hair"/>
    </border>
    <border>
      <left>
        <color indexed="63"/>
      </left>
      <right style="thin"/>
      <top style="hair"/>
      <bottom style="thin"/>
    </border>
    <border>
      <left style="hair"/>
      <right style="hair"/>
      <top style="hair"/>
      <bottom style="hair"/>
    </border>
    <border>
      <left style="thin"/>
      <right style="thin"/>
      <top style="hair"/>
      <bottom>
        <color indexed="63"/>
      </bottom>
    </border>
    <border>
      <left>
        <color indexed="63"/>
      </left>
      <right style="thin"/>
      <top style="hair"/>
      <bottom>
        <color indexed="63"/>
      </bottom>
    </border>
    <border>
      <left style="thin"/>
      <right style="thin"/>
      <top style="thin"/>
      <bottom style="hair"/>
    </border>
    <border>
      <left style="thin"/>
      <right>
        <color indexed="63"/>
      </right>
      <top style="hair"/>
      <bottom>
        <color indexed="63"/>
      </bottom>
    </border>
    <border>
      <left style="hair"/>
      <right>
        <color indexed="63"/>
      </right>
      <top style="hair"/>
      <bottom>
        <color indexed="63"/>
      </bottom>
    </border>
    <border>
      <left style="hair"/>
      <right>
        <color indexed="63"/>
      </right>
      <top>
        <color indexed="63"/>
      </top>
      <bottom style="hair"/>
    </border>
    <border>
      <left>
        <color indexed="63"/>
      </left>
      <right style="hair"/>
      <top style="hair"/>
      <bottom style="hair"/>
    </border>
    <border>
      <left style="thin"/>
      <right>
        <color indexed="63"/>
      </right>
      <top style="hair"/>
      <bottom style="double"/>
    </border>
    <border>
      <left>
        <color indexed="63"/>
      </left>
      <right>
        <color indexed="63"/>
      </right>
      <top style="hair"/>
      <bottom style="double"/>
    </border>
    <border>
      <left>
        <color indexed="63"/>
      </left>
      <right style="hair"/>
      <top style="hair"/>
      <bottom style="double"/>
    </border>
    <border>
      <left style="thin"/>
      <right>
        <color indexed="63"/>
      </right>
      <top style="double"/>
      <bottom style="thin"/>
    </border>
    <border>
      <left>
        <color indexed="63"/>
      </left>
      <right>
        <color indexed="63"/>
      </right>
      <top style="double"/>
      <bottom style="thin"/>
    </border>
    <border>
      <left>
        <color indexed="63"/>
      </left>
      <right style="hair"/>
      <top style="double"/>
      <bottom style="thin"/>
    </border>
    <border>
      <left style="hair"/>
      <right>
        <color indexed="63"/>
      </right>
      <top>
        <color indexed="63"/>
      </top>
      <bottom>
        <color indexed="63"/>
      </bottom>
    </border>
    <border>
      <left>
        <color indexed="63"/>
      </left>
      <right style="hair"/>
      <top style="hair"/>
      <bottom>
        <color indexed="63"/>
      </bottom>
    </border>
    <border>
      <left>
        <color indexed="63"/>
      </left>
      <right style="hair"/>
      <top>
        <color indexed="63"/>
      </top>
      <bottom style="hair"/>
    </border>
    <border>
      <left style="thin"/>
      <right style="thin"/>
      <top>
        <color indexed="63"/>
      </top>
      <bottom style="hair"/>
    </border>
    <border>
      <left>
        <color indexed="63"/>
      </left>
      <right style="thin"/>
      <top>
        <color indexed="63"/>
      </top>
      <bottom style="hair"/>
    </border>
    <border>
      <left style="thin"/>
      <right>
        <color indexed="63"/>
      </right>
      <top>
        <color indexed="63"/>
      </top>
      <bottom style="hair"/>
    </border>
    <border>
      <left style="hair"/>
      <right>
        <color indexed="63"/>
      </right>
      <top>
        <color indexed="63"/>
      </top>
      <bottom style="double"/>
    </border>
    <border>
      <left style="thin"/>
      <right style="hair"/>
      <top style="thin"/>
      <bottom>
        <color indexed="63"/>
      </bottom>
    </border>
    <border>
      <left style="thin"/>
      <right style="hair"/>
      <top>
        <color indexed="63"/>
      </top>
      <bottom style="thin"/>
    </border>
    <border>
      <left>
        <color indexed="63"/>
      </left>
      <right style="hair"/>
      <top style="thin"/>
      <bottom style="hair"/>
    </border>
    <border>
      <left>
        <color indexed="63"/>
      </left>
      <right style="hair"/>
      <top style="thin"/>
      <bottom>
        <color indexed="63"/>
      </bottom>
    </border>
    <border>
      <left style="hair"/>
      <right>
        <color indexed="63"/>
      </right>
      <top style="thin"/>
      <bottom>
        <color indexed="63"/>
      </bottom>
    </border>
    <border>
      <left>
        <color indexed="63"/>
      </left>
      <right style="thin"/>
      <top>
        <color indexed="63"/>
      </top>
      <bottom style="double"/>
    </border>
    <border>
      <left style="hair"/>
      <right style="hair"/>
      <top style="hair"/>
      <bottom>
        <color indexed="63"/>
      </bottom>
    </border>
    <border>
      <left style="hair"/>
      <right style="hair"/>
      <top>
        <color indexed="63"/>
      </top>
      <bottom style="hair"/>
    </border>
    <border>
      <left style="hair"/>
      <right style="hair"/>
      <top style="hair"/>
      <bottom style="double"/>
    </border>
    <border>
      <left style="hair"/>
      <right>
        <color indexed="63"/>
      </right>
      <top style="double"/>
      <bottom style="thin"/>
    </border>
    <border>
      <left>
        <color indexed="63"/>
      </left>
      <right style="thin"/>
      <top style="double"/>
      <bottom style="thin"/>
    </border>
    <border>
      <left>
        <color indexed="63"/>
      </left>
      <right style="hair"/>
      <top>
        <color indexed="63"/>
      </top>
      <bottom>
        <color indexed="63"/>
      </bottom>
    </border>
    <border>
      <left>
        <color indexed="63"/>
      </left>
      <right style="hair"/>
      <top>
        <color indexed="63"/>
      </top>
      <bottom style="double"/>
    </border>
    <border>
      <left style="hair"/>
      <right>
        <color indexed="63"/>
      </right>
      <top style="hair"/>
      <bottom style="hair"/>
    </border>
    <border>
      <left style="hair"/>
      <right>
        <color indexed="63"/>
      </right>
      <top style="hair"/>
      <bottom style="double"/>
    </border>
    <border>
      <left style="thin"/>
      <right style="hair"/>
      <top style="thin"/>
      <bottom style="hair"/>
    </border>
    <border>
      <left style="thin"/>
      <right style="hair"/>
      <top>
        <color indexed="63"/>
      </top>
      <bottom style="hair"/>
    </border>
    <border>
      <left style="thin"/>
      <right style="hair"/>
      <top style="hair"/>
      <bottom style="hair"/>
    </border>
    <border>
      <left style="thin"/>
      <right style="hair"/>
      <top style="hair"/>
      <bottom style="thin"/>
    </border>
    <border>
      <left style="hair"/>
      <right style="thin"/>
      <top>
        <color indexed="63"/>
      </top>
      <bottom style="hair"/>
    </border>
    <border>
      <left style="hair"/>
      <right style="thin"/>
      <top style="hair"/>
      <bottom style="hair"/>
    </border>
    <border>
      <left>
        <color indexed="63"/>
      </left>
      <right style="hair"/>
      <top style="hair"/>
      <bottom style="thin"/>
    </border>
    <border>
      <left style="thin"/>
      <right>
        <color indexed="63"/>
      </right>
      <top>
        <color indexed="63"/>
      </top>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6" fillId="0" borderId="0" applyNumberFormat="0" applyFill="0" applyBorder="0" applyAlignment="0" applyProtection="0"/>
    <xf numFmtId="0" fontId="50" fillId="32" borderId="0" applyNumberFormat="0" applyBorder="0" applyAlignment="0" applyProtection="0"/>
  </cellStyleXfs>
  <cellXfs count="588">
    <xf numFmtId="0" fontId="0" fillId="0" borderId="0" xfId="0" applyAlignment="1">
      <alignment vertical="center"/>
    </xf>
    <xf numFmtId="0" fontId="0" fillId="33" borderId="0" xfId="0" applyFill="1" applyAlignment="1" applyProtection="1">
      <alignment vertical="center"/>
      <protection locked="0"/>
    </xf>
    <xf numFmtId="0" fontId="0" fillId="34" borderId="0" xfId="0" applyFill="1" applyAlignment="1" applyProtection="1">
      <alignment vertical="center"/>
      <protection locked="0"/>
    </xf>
    <xf numFmtId="0" fontId="0" fillId="34" borderId="0" xfId="0" applyFill="1" applyAlignment="1" applyProtection="1">
      <alignment horizontal="right" vertical="center"/>
      <protection locked="0"/>
    </xf>
    <xf numFmtId="0" fontId="3" fillId="34" borderId="0" xfId="0" applyFont="1" applyFill="1" applyAlignment="1" applyProtection="1" quotePrefix="1">
      <alignment horizontal="left" vertical="center"/>
      <protection locked="0"/>
    </xf>
    <xf numFmtId="0" fontId="3" fillId="34" borderId="10" xfId="0" applyFont="1" applyFill="1" applyBorder="1" applyAlignment="1" applyProtection="1" quotePrefix="1">
      <alignment horizontal="left" vertical="center"/>
      <protection locked="0"/>
    </xf>
    <xf numFmtId="0" fontId="3" fillId="34" borderId="11" xfId="0" applyFont="1" applyFill="1" applyBorder="1" applyAlignment="1" applyProtection="1" quotePrefix="1">
      <alignment horizontal="left" vertical="center"/>
      <protection locked="0"/>
    </xf>
    <xf numFmtId="0" fontId="3" fillId="34" borderId="0" xfId="0" applyFont="1" applyFill="1" applyAlignment="1" applyProtection="1">
      <alignment vertical="center"/>
      <protection locked="0"/>
    </xf>
    <xf numFmtId="0" fontId="3" fillId="34" borderId="12" xfId="0" applyFont="1" applyFill="1" applyBorder="1" applyAlignment="1" applyProtection="1">
      <alignment horizontal="center" vertical="top"/>
      <protection locked="0"/>
    </xf>
    <xf numFmtId="0" fontId="3" fillId="34" borderId="12" xfId="0" applyFont="1" applyFill="1" applyBorder="1" applyAlignment="1" applyProtection="1" quotePrefix="1">
      <alignment horizontal="left" vertical="top"/>
      <protection locked="0"/>
    </xf>
    <xf numFmtId="0" fontId="3" fillId="34" borderId="13" xfId="0" applyFont="1" applyFill="1" applyBorder="1" applyAlignment="1" applyProtection="1">
      <alignment horizontal="center" vertical="top"/>
      <protection locked="0"/>
    </xf>
    <xf numFmtId="0" fontId="3" fillId="34" borderId="0" xfId="0" applyFont="1" applyFill="1" applyBorder="1" applyAlignment="1" applyProtection="1">
      <alignment horizontal="center" vertical="top"/>
      <protection locked="0"/>
    </xf>
    <xf numFmtId="0" fontId="3" fillId="34" borderId="14" xfId="0" applyFont="1" applyFill="1" applyBorder="1" applyAlignment="1" applyProtection="1">
      <alignment vertical="center"/>
      <protection locked="0"/>
    </xf>
    <xf numFmtId="0" fontId="3" fillId="34" borderId="15" xfId="0" applyFont="1" applyFill="1" applyBorder="1" applyAlignment="1" applyProtection="1">
      <alignment vertical="center"/>
      <protection locked="0"/>
    </xf>
    <xf numFmtId="0" fontId="3" fillId="34" borderId="16" xfId="0" applyFont="1" applyFill="1" applyBorder="1" applyAlignment="1" applyProtection="1">
      <alignment horizontal="right" vertical="center"/>
      <protection locked="0"/>
    </xf>
    <xf numFmtId="0" fontId="3" fillId="34" borderId="17" xfId="0" applyFont="1" applyFill="1" applyBorder="1" applyAlignment="1" applyProtection="1">
      <alignment horizontal="right" vertical="center"/>
      <protection locked="0"/>
    </xf>
    <xf numFmtId="0" fontId="3" fillId="34" borderId="0" xfId="0" applyFont="1" applyFill="1" applyBorder="1" applyAlignment="1" applyProtection="1">
      <alignment vertical="center"/>
      <protection locked="0"/>
    </xf>
    <xf numFmtId="0" fontId="3" fillId="34" borderId="18" xfId="0" applyFont="1" applyFill="1" applyBorder="1" applyAlignment="1" applyProtection="1">
      <alignment vertical="center"/>
      <protection locked="0"/>
    </xf>
    <xf numFmtId="0" fontId="3" fillId="34" borderId="16" xfId="0" applyFont="1" applyFill="1" applyBorder="1" applyAlignment="1" applyProtection="1">
      <alignment vertical="center"/>
      <protection locked="0"/>
    </xf>
    <xf numFmtId="176" fontId="3" fillId="34" borderId="19" xfId="0" applyNumberFormat="1" applyFont="1" applyFill="1" applyBorder="1" applyAlignment="1" applyProtection="1">
      <alignment vertical="center"/>
      <protection locked="0"/>
    </xf>
    <xf numFmtId="176" fontId="3" fillId="34" borderId="20" xfId="0" applyNumberFormat="1" applyFont="1" applyFill="1" applyBorder="1" applyAlignment="1" applyProtection="1">
      <alignment vertical="center"/>
      <protection locked="0"/>
    </xf>
    <xf numFmtId="176" fontId="3" fillId="34" borderId="21" xfId="0" applyNumberFormat="1" applyFont="1" applyFill="1" applyBorder="1" applyAlignment="1" applyProtection="1">
      <alignment vertical="center"/>
      <protection locked="0"/>
    </xf>
    <xf numFmtId="0" fontId="3" fillId="34" borderId="0" xfId="0" applyFont="1" applyFill="1" applyBorder="1" applyAlignment="1" applyProtection="1">
      <alignment vertical="center"/>
      <protection locked="0"/>
    </xf>
    <xf numFmtId="0" fontId="3" fillId="34" borderId="22" xfId="0" applyFont="1" applyFill="1" applyBorder="1" applyAlignment="1" applyProtection="1" quotePrefix="1">
      <alignment horizontal="left" vertical="center"/>
      <protection locked="0"/>
    </xf>
    <xf numFmtId="0" fontId="3" fillId="34" borderId="11" xfId="0" applyFont="1" applyFill="1" applyBorder="1" applyAlignment="1" applyProtection="1">
      <alignment vertical="center"/>
      <protection locked="0"/>
    </xf>
    <xf numFmtId="0" fontId="3" fillId="34" borderId="23" xfId="0" applyFont="1" applyFill="1" applyBorder="1" applyAlignment="1" applyProtection="1">
      <alignment vertical="center"/>
      <protection locked="0"/>
    </xf>
    <xf numFmtId="0" fontId="3" fillId="34" borderId="24" xfId="0" applyFont="1" applyFill="1" applyBorder="1" applyAlignment="1" applyProtection="1" quotePrefix="1">
      <alignment horizontal="left" vertical="center"/>
      <protection locked="0"/>
    </xf>
    <xf numFmtId="0" fontId="3" fillId="34" borderId="13" xfId="0" applyFont="1" applyFill="1" applyBorder="1" applyAlignment="1" applyProtection="1" quotePrefix="1">
      <alignment horizontal="left" vertical="center"/>
      <protection locked="0"/>
    </xf>
    <xf numFmtId="0" fontId="3" fillId="34" borderId="13" xfId="0" applyFont="1" applyFill="1" applyBorder="1" applyAlignment="1" applyProtection="1">
      <alignment vertical="center"/>
      <protection locked="0"/>
    </xf>
    <xf numFmtId="0" fontId="3" fillId="34" borderId="25" xfId="0" applyFont="1" applyFill="1" applyBorder="1" applyAlignment="1" applyProtection="1">
      <alignment vertical="center"/>
      <protection locked="0"/>
    </xf>
    <xf numFmtId="0" fontId="3" fillId="34" borderId="0" xfId="0" applyFont="1" applyFill="1" applyAlignment="1" applyProtection="1">
      <alignment horizontal="right" vertical="center"/>
      <protection locked="0"/>
    </xf>
    <xf numFmtId="0" fontId="3" fillId="34" borderId="0" xfId="0" applyFont="1" applyFill="1" applyAlignment="1" applyProtection="1">
      <alignment horizontal="center" vertical="center"/>
      <protection locked="0"/>
    </xf>
    <xf numFmtId="0" fontId="3" fillId="34" borderId="21" xfId="0" applyFont="1" applyFill="1" applyBorder="1" applyAlignment="1" applyProtection="1" quotePrefix="1">
      <alignment horizontal="center" vertical="center"/>
      <protection locked="0"/>
    </xf>
    <xf numFmtId="0" fontId="3" fillId="34" borderId="0" xfId="0" applyFont="1" applyFill="1" applyBorder="1" applyAlignment="1" applyProtection="1" quotePrefix="1">
      <alignment horizontal="left" vertical="center"/>
      <protection locked="0"/>
    </xf>
    <xf numFmtId="0" fontId="3" fillId="34" borderId="0" xfId="0" applyFont="1" applyFill="1" applyAlignment="1" applyProtection="1" quotePrefix="1">
      <alignment horizontal="center" vertical="center"/>
      <protection locked="0"/>
    </xf>
    <xf numFmtId="0" fontId="3" fillId="34" borderId="0" xfId="0" applyFont="1" applyFill="1" applyAlignment="1" applyProtection="1" quotePrefix="1">
      <alignment horizontal="right" vertical="center"/>
      <protection locked="0"/>
    </xf>
    <xf numFmtId="0" fontId="0" fillId="34" borderId="0" xfId="0" applyFill="1" applyBorder="1" applyAlignment="1" applyProtection="1">
      <alignment horizontal="center" vertical="top"/>
      <protection locked="0"/>
    </xf>
    <xf numFmtId="0" fontId="0" fillId="34" borderId="26" xfId="0" applyFill="1" applyBorder="1" applyAlignment="1" applyProtection="1">
      <alignment horizontal="center" vertical="top"/>
      <protection locked="0"/>
    </xf>
    <xf numFmtId="0" fontId="0" fillId="34" borderId="12" xfId="0" applyFill="1" applyBorder="1" applyAlignment="1" applyProtection="1">
      <alignment horizontal="center" vertical="top"/>
      <protection locked="0"/>
    </xf>
    <xf numFmtId="0" fontId="3" fillId="34" borderId="0" xfId="0" applyFont="1" applyFill="1" applyAlignment="1" applyProtection="1">
      <alignment vertical="center"/>
      <protection locked="0"/>
    </xf>
    <xf numFmtId="0" fontId="9" fillId="35" borderId="27" xfId="0" applyFont="1" applyFill="1" applyBorder="1" applyAlignment="1" applyProtection="1">
      <alignment horizontal="center" vertical="center"/>
      <protection locked="0"/>
    </xf>
    <xf numFmtId="0" fontId="9" fillId="35" borderId="28" xfId="0" applyFont="1" applyFill="1" applyBorder="1" applyAlignment="1" applyProtection="1">
      <alignment horizontal="center" vertical="center"/>
      <protection locked="0"/>
    </xf>
    <xf numFmtId="176" fontId="3" fillId="34" borderId="22" xfId="0" applyNumberFormat="1" applyFont="1" applyFill="1" applyBorder="1" applyAlignment="1" applyProtection="1">
      <alignment vertical="center"/>
      <protection locked="0"/>
    </xf>
    <xf numFmtId="0" fontId="3" fillId="34" borderId="23" xfId="0" applyFont="1" applyFill="1" applyBorder="1" applyAlignment="1" applyProtection="1">
      <alignment horizontal="right" vertical="center"/>
      <protection locked="0"/>
    </xf>
    <xf numFmtId="176" fontId="3" fillId="34" borderId="24" xfId="0" applyNumberFormat="1" applyFont="1" applyFill="1" applyBorder="1" applyAlignment="1" applyProtection="1">
      <alignment vertical="center"/>
      <protection locked="0"/>
    </xf>
    <xf numFmtId="0" fontId="3" fillId="34" borderId="25" xfId="0" applyFont="1" applyFill="1" applyBorder="1" applyAlignment="1" applyProtection="1">
      <alignment horizontal="right" vertical="center"/>
      <protection locked="0"/>
    </xf>
    <xf numFmtId="0" fontId="3" fillId="34" borderId="29" xfId="0" applyFont="1" applyFill="1" applyBorder="1" applyAlignment="1" applyProtection="1">
      <alignment horizontal="center" vertical="center"/>
      <protection locked="0"/>
    </xf>
    <xf numFmtId="183" fontId="3" fillId="34" borderId="30" xfId="0" applyNumberFormat="1" applyFont="1" applyFill="1" applyBorder="1" applyAlignment="1" applyProtection="1">
      <alignment vertical="center"/>
      <protection locked="0"/>
    </xf>
    <xf numFmtId="183" fontId="3" fillId="34" borderId="31" xfId="0" applyNumberFormat="1" applyFont="1" applyFill="1" applyBorder="1" applyAlignment="1" applyProtection="1">
      <alignment vertical="center"/>
      <protection locked="0"/>
    </xf>
    <xf numFmtId="178" fontId="9" fillId="34" borderId="0" xfId="0" applyNumberFormat="1" applyFont="1" applyFill="1" applyAlignment="1" applyProtection="1">
      <alignment vertical="center"/>
      <protection/>
    </xf>
    <xf numFmtId="0" fontId="0" fillId="34" borderId="0" xfId="0" applyFill="1" applyAlignment="1" applyProtection="1" quotePrefix="1">
      <alignment horizontal="left" vertical="center"/>
      <protection locked="0"/>
    </xf>
    <xf numFmtId="179" fontId="10" fillId="36" borderId="29" xfId="0" applyNumberFormat="1" applyFont="1" applyFill="1" applyBorder="1" applyAlignment="1" applyProtection="1">
      <alignment vertical="center"/>
      <protection locked="0"/>
    </xf>
    <xf numFmtId="0" fontId="3" fillId="34" borderId="0" xfId="0" applyFont="1" applyFill="1" applyBorder="1" applyAlignment="1" applyProtection="1" quotePrefix="1">
      <alignment horizontal="center" vertical="center"/>
      <protection locked="0"/>
    </xf>
    <xf numFmtId="0" fontId="3" fillId="34" borderId="0" xfId="0" applyFont="1" applyFill="1" applyBorder="1" applyAlignment="1" applyProtection="1">
      <alignment horizontal="center" vertical="center"/>
      <protection locked="0"/>
    </xf>
    <xf numFmtId="179" fontId="9" fillId="37" borderId="29" xfId="0" applyNumberFormat="1" applyFont="1" applyFill="1" applyBorder="1" applyAlignment="1" applyProtection="1">
      <alignment vertical="center"/>
      <protection/>
    </xf>
    <xf numFmtId="179" fontId="9" fillId="37" borderId="29" xfId="0" applyNumberFormat="1" applyFont="1" applyFill="1" applyBorder="1" applyAlignment="1" applyProtection="1">
      <alignment vertical="center"/>
      <protection/>
    </xf>
    <xf numFmtId="183" fontId="9" fillId="37" borderId="29" xfId="0" applyNumberFormat="1" applyFont="1" applyFill="1" applyBorder="1" applyAlignment="1" applyProtection="1">
      <alignment vertical="center"/>
      <protection/>
    </xf>
    <xf numFmtId="183" fontId="3" fillId="34" borderId="32" xfId="0" applyNumberFormat="1" applyFont="1" applyFill="1" applyBorder="1" applyAlignment="1" applyProtection="1">
      <alignment vertical="center"/>
      <protection locked="0"/>
    </xf>
    <xf numFmtId="0" fontId="3" fillId="34" borderId="33" xfId="0" applyFont="1" applyFill="1" applyBorder="1" applyAlignment="1" applyProtection="1">
      <alignment vertical="center"/>
      <protection locked="0"/>
    </xf>
    <xf numFmtId="0" fontId="3" fillId="34" borderId="34" xfId="0" applyFont="1" applyFill="1" applyBorder="1" applyAlignment="1" applyProtection="1">
      <alignment vertical="center"/>
      <protection locked="0"/>
    </xf>
    <xf numFmtId="176" fontId="3" fillId="34" borderId="11" xfId="0" applyNumberFormat="1" applyFont="1" applyFill="1" applyBorder="1" applyAlignment="1" applyProtection="1" quotePrefix="1">
      <alignment horizontal="left" vertical="center"/>
      <protection locked="0"/>
    </xf>
    <xf numFmtId="176" fontId="3" fillId="34" borderId="0" xfId="0" applyNumberFormat="1" applyFont="1" applyFill="1" applyBorder="1" applyAlignment="1" applyProtection="1" quotePrefix="1">
      <alignment horizontal="left" vertical="center"/>
      <protection locked="0"/>
    </xf>
    <xf numFmtId="176" fontId="3" fillId="34" borderId="13" xfId="0" applyNumberFormat="1" applyFont="1" applyFill="1" applyBorder="1" applyAlignment="1" applyProtection="1" quotePrefix="1">
      <alignment horizontal="left" vertical="center"/>
      <protection locked="0"/>
    </xf>
    <xf numFmtId="180" fontId="10" fillId="36" borderId="29" xfId="0" applyNumberFormat="1" applyFont="1" applyFill="1" applyBorder="1" applyAlignment="1" applyProtection="1">
      <alignment vertical="center"/>
      <protection locked="0"/>
    </xf>
    <xf numFmtId="0" fontId="0" fillId="34" borderId="0" xfId="0" applyFill="1" applyAlignment="1" applyProtection="1" quotePrefix="1">
      <alignment horizontal="right" vertical="center"/>
      <protection locked="0"/>
    </xf>
    <xf numFmtId="0" fontId="0" fillId="33" borderId="22" xfId="0" applyFill="1" applyBorder="1" applyAlignment="1" applyProtection="1">
      <alignment vertical="center"/>
      <protection locked="0"/>
    </xf>
    <xf numFmtId="0" fontId="0" fillId="33" borderId="11" xfId="0" applyFill="1" applyBorder="1" applyAlignment="1" applyProtection="1">
      <alignment vertical="center"/>
      <protection locked="0"/>
    </xf>
    <xf numFmtId="0" fontId="0" fillId="33" borderId="23" xfId="0" applyFill="1" applyBorder="1" applyAlignment="1" applyProtection="1">
      <alignment vertical="center"/>
      <protection locked="0"/>
    </xf>
    <xf numFmtId="0" fontId="0" fillId="33" borderId="21" xfId="0" applyFill="1" applyBorder="1" applyAlignment="1" applyProtection="1">
      <alignment vertical="center"/>
      <protection locked="0"/>
    </xf>
    <xf numFmtId="0" fontId="0" fillId="33" borderId="0" xfId="0" applyFill="1" applyBorder="1" applyAlignment="1" applyProtection="1">
      <alignment vertical="center"/>
      <protection locked="0"/>
    </xf>
    <xf numFmtId="0" fontId="0" fillId="33" borderId="18" xfId="0" applyFill="1" applyBorder="1" applyAlignment="1" applyProtection="1">
      <alignment vertical="center"/>
      <protection locked="0"/>
    </xf>
    <xf numFmtId="0" fontId="0" fillId="33" borderId="24" xfId="0" applyFill="1" applyBorder="1" applyAlignment="1" applyProtection="1">
      <alignment horizontal="center" vertical="center"/>
      <protection locked="0"/>
    </xf>
    <xf numFmtId="0" fontId="0" fillId="33" borderId="13" xfId="0" applyFill="1" applyBorder="1" applyAlignment="1" applyProtection="1">
      <alignment vertical="center"/>
      <protection locked="0"/>
    </xf>
    <xf numFmtId="0" fontId="0" fillId="33" borderId="25" xfId="0" applyFill="1" applyBorder="1" applyAlignment="1" applyProtection="1">
      <alignment vertical="center"/>
      <protection locked="0"/>
    </xf>
    <xf numFmtId="0" fontId="0" fillId="33" borderId="35" xfId="0" applyFill="1" applyBorder="1" applyAlignment="1" applyProtection="1" quotePrefix="1">
      <alignment horizontal="left" vertical="center"/>
      <protection locked="0"/>
    </xf>
    <xf numFmtId="0" fontId="0" fillId="33" borderId="36" xfId="0" applyFill="1" applyBorder="1" applyAlignment="1" applyProtection="1" quotePrefix="1">
      <alignment horizontal="left" vertical="center"/>
      <protection locked="0"/>
    </xf>
    <xf numFmtId="0" fontId="0" fillId="33" borderId="37" xfId="0" applyFill="1" applyBorder="1" applyAlignment="1" applyProtection="1" quotePrefix="1">
      <alignment horizontal="left" vertical="center"/>
      <protection locked="0"/>
    </xf>
    <xf numFmtId="0" fontId="0" fillId="33" borderId="24" xfId="0" applyFill="1" applyBorder="1" applyAlignment="1" applyProtection="1">
      <alignment vertical="center"/>
      <protection locked="0"/>
    </xf>
    <xf numFmtId="0" fontId="0" fillId="33" borderId="0" xfId="0" applyFill="1" applyBorder="1" applyAlignment="1" applyProtection="1" quotePrefix="1">
      <alignment horizontal="left" vertical="center"/>
      <protection locked="0"/>
    </xf>
    <xf numFmtId="0" fontId="0" fillId="33" borderId="29" xfId="0" applyFill="1" applyBorder="1" applyAlignment="1" applyProtection="1">
      <alignment vertical="center"/>
      <protection locked="0"/>
    </xf>
    <xf numFmtId="0" fontId="0" fillId="33" borderId="23" xfId="0" applyFill="1" applyBorder="1" applyAlignment="1" applyProtection="1" quotePrefix="1">
      <alignment horizontal="left" vertical="center"/>
      <protection locked="0"/>
    </xf>
    <xf numFmtId="0" fontId="0" fillId="33" borderId="18" xfId="0" applyFill="1" applyBorder="1" applyAlignment="1" applyProtection="1" quotePrefix="1">
      <alignment horizontal="left" vertical="center"/>
      <protection locked="0"/>
    </xf>
    <xf numFmtId="0" fontId="0" fillId="33" borderId="25" xfId="0" applyFill="1" applyBorder="1" applyAlignment="1" applyProtection="1" quotePrefix="1">
      <alignment horizontal="left" vertical="center"/>
      <protection locked="0"/>
    </xf>
    <xf numFmtId="0" fontId="9" fillId="37" borderId="38" xfId="0" applyFont="1" applyFill="1" applyBorder="1" applyAlignment="1" applyProtection="1">
      <alignment horizontal="center" vertical="center"/>
      <protection/>
    </xf>
    <xf numFmtId="0" fontId="9" fillId="37" borderId="39" xfId="0" applyFont="1" applyFill="1" applyBorder="1" applyAlignment="1" applyProtection="1">
      <alignment horizontal="center" vertical="center"/>
      <protection/>
    </xf>
    <xf numFmtId="183" fontId="3" fillId="34" borderId="40" xfId="0" applyNumberFormat="1" applyFont="1" applyFill="1" applyBorder="1" applyAlignment="1" applyProtection="1">
      <alignment vertical="center"/>
      <protection locked="0"/>
    </xf>
    <xf numFmtId="182" fontId="0" fillId="33" borderId="0" xfId="0" applyNumberFormat="1" applyFill="1" applyAlignment="1" applyProtection="1">
      <alignment vertical="center"/>
      <protection locked="0"/>
    </xf>
    <xf numFmtId="176" fontId="3" fillId="34" borderId="41" xfId="0" applyNumberFormat="1" applyFont="1" applyFill="1" applyBorder="1" applyAlignment="1" applyProtection="1">
      <alignment vertical="center"/>
      <protection locked="0"/>
    </xf>
    <xf numFmtId="176" fontId="3" fillId="34" borderId="42" xfId="0" applyNumberFormat="1" applyFont="1" applyFill="1" applyBorder="1" applyAlignment="1" applyProtection="1">
      <alignment vertical="center"/>
      <protection locked="0"/>
    </xf>
    <xf numFmtId="176" fontId="3" fillId="34" borderId="43" xfId="0" applyNumberFormat="1" applyFont="1" applyFill="1" applyBorder="1" applyAlignment="1" applyProtection="1">
      <alignment vertical="center"/>
      <protection locked="0"/>
    </xf>
    <xf numFmtId="0" fontId="0" fillId="34" borderId="0" xfId="0" applyFill="1" applyAlignment="1" applyProtection="1">
      <alignment vertical="center"/>
      <protection locked="0"/>
    </xf>
    <xf numFmtId="0" fontId="3" fillId="0" borderId="28" xfId="0" applyFont="1" applyBorder="1" applyAlignment="1">
      <alignment horizontal="center" vertical="center"/>
    </xf>
    <xf numFmtId="0" fontId="9" fillId="35" borderId="35" xfId="0" applyFont="1" applyFill="1" applyBorder="1" applyAlignment="1" applyProtection="1">
      <alignment horizontal="center" vertical="center"/>
      <protection locked="0"/>
    </xf>
    <xf numFmtId="0" fontId="0" fillId="34" borderId="0" xfId="0" applyFill="1" applyBorder="1" applyAlignment="1" applyProtection="1">
      <alignment vertical="center"/>
      <protection locked="0"/>
    </xf>
    <xf numFmtId="0" fontId="9" fillId="34" borderId="19" xfId="0" applyFont="1" applyFill="1" applyBorder="1" applyAlignment="1" applyProtection="1">
      <alignment horizontal="right" vertical="center"/>
      <protection locked="0"/>
    </xf>
    <xf numFmtId="0" fontId="10" fillId="36" borderId="14" xfId="0" applyFont="1" applyFill="1" applyBorder="1" applyAlignment="1" applyProtection="1">
      <alignment horizontal="center" vertical="center"/>
      <protection locked="0"/>
    </xf>
    <xf numFmtId="0" fontId="9" fillId="34" borderId="14" xfId="0" applyFont="1" applyFill="1" applyBorder="1" applyAlignment="1" applyProtection="1" quotePrefix="1">
      <alignment horizontal="left" vertical="center"/>
      <protection locked="0"/>
    </xf>
    <xf numFmtId="0" fontId="9" fillId="34" borderId="16" xfId="0" applyFont="1" applyFill="1" applyBorder="1" applyAlignment="1" applyProtection="1">
      <alignment vertical="center"/>
      <protection locked="0"/>
    </xf>
    <xf numFmtId="0" fontId="9" fillId="34" borderId="14" xfId="0" applyFont="1" applyFill="1" applyBorder="1" applyAlignment="1" applyProtection="1">
      <alignment vertical="center"/>
      <protection locked="0"/>
    </xf>
    <xf numFmtId="0" fontId="0" fillId="34" borderId="16" xfId="0" applyFill="1" applyBorder="1" applyAlignment="1" applyProtection="1">
      <alignment vertical="center"/>
      <protection locked="0"/>
    </xf>
    <xf numFmtId="0" fontId="3" fillId="34" borderId="44" xfId="0" applyFont="1" applyFill="1" applyBorder="1" applyAlignment="1" applyProtection="1">
      <alignment vertical="center"/>
      <protection locked="0"/>
    </xf>
    <xf numFmtId="0" fontId="3" fillId="34" borderId="45" xfId="0" applyFont="1" applyFill="1" applyBorder="1" applyAlignment="1" applyProtection="1">
      <alignment vertical="center"/>
      <protection locked="0"/>
    </xf>
    <xf numFmtId="0" fontId="9" fillId="35" borderId="46" xfId="0" applyFont="1" applyFill="1" applyBorder="1" applyAlignment="1" applyProtection="1">
      <alignment horizontal="center" vertical="center"/>
      <protection locked="0"/>
    </xf>
    <xf numFmtId="0" fontId="9" fillId="35" borderId="34" xfId="0" applyFont="1" applyFill="1" applyBorder="1" applyAlignment="1" applyProtection="1">
      <alignment horizontal="center" vertical="center"/>
      <protection locked="0"/>
    </xf>
    <xf numFmtId="0" fontId="3" fillId="34" borderId="46" xfId="0" applyFont="1" applyFill="1" applyBorder="1" applyAlignment="1" applyProtection="1">
      <alignment vertical="center"/>
      <protection locked="0"/>
    </xf>
    <xf numFmtId="176" fontId="3" fillId="34" borderId="43" xfId="0" applyNumberFormat="1" applyFont="1" applyFill="1" applyBorder="1" applyAlignment="1" applyProtection="1" quotePrefix="1">
      <alignment vertical="center"/>
      <protection locked="0"/>
    </xf>
    <xf numFmtId="0" fontId="3" fillId="34" borderId="47" xfId="0" applyFont="1" applyFill="1" applyBorder="1" applyAlignment="1" applyProtection="1">
      <alignment vertical="center"/>
      <protection locked="0"/>
    </xf>
    <xf numFmtId="0" fontId="3" fillId="34" borderId="16" xfId="0" applyFont="1" applyFill="1" applyBorder="1" applyAlignment="1" applyProtection="1" quotePrefix="1">
      <alignment horizontal="right" vertical="center"/>
      <protection locked="0"/>
    </xf>
    <xf numFmtId="176" fontId="3" fillId="34" borderId="0" xfId="0" applyNumberFormat="1" applyFont="1" applyFill="1" applyBorder="1" applyAlignment="1" applyProtection="1">
      <alignment vertical="center"/>
      <protection locked="0"/>
    </xf>
    <xf numFmtId="0" fontId="3" fillId="34" borderId="48" xfId="0" applyFont="1" applyFill="1" applyBorder="1" applyAlignment="1" applyProtection="1">
      <alignment horizontal="center" vertical="center"/>
      <protection locked="0"/>
    </xf>
    <xf numFmtId="0" fontId="3" fillId="34" borderId="28" xfId="0" applyFont="1" applyFill="1" applyBorder="1" applyAlignment="1" applyProtection="1" quotePrefix="1">
      <alignment horizontal="center" vertical="center"/>
      <protection locked="0"/>
    </xf>
    <xf numFmtId="0" fontId="3" fillId="34" borderId="49" xfId="0" applyFont="1" applyFill="1" applyBorder="1" applyAlignment="1" applyProtection="1" quotePrefix="1">
      <alignment horizontal="center" vertical="center"/>
      <protection locked="0"/>
    </xf>
    <xf numFmtId="176" fontId="3" fillId="34" borderId="10" xfId="0" applyNumberFormat="1" applyFont="1" applyFill="1" applyBorder="1" applyAlignment="1" applyProtection="1" quotePrefix="1">
      <alignment horizontal="left" vertical="center"/>
      <protection locked="0"/>
    </xf>
    <xf numFmtId="0" fontId="3" fillId="34" borderId="10" xfId="0" applyFont="1" applyFill="1" applyBorder="1" applyAlignment="1" applyProtection="1">
      <alignment vertical="center"/>
      <protection locked="0"/>
    </xf>
    <xf numFmtId="0" fontId="3" fillId="34" borderId="50" xfId="0" applyFont="1" applyFill="1" applyBorder="1" applyAlignment="1" applyProtection="1">
      <alignment vertical="center"/>
      <protection locked="0"/>
    </xf>
    <xf numFmtId="0" fontId="3" fillId="34" borderId="24" xfId="0" applyFont="1" applyFill="1" applyBorder="1" applyAlignment="1" applyProtection="1">
      <alignment horizontal="center" vertical="center"/>
      <protection locked="0"/>
    </xf>
    <xf numFmtId="0" fontId="3" fillId="34" borderId="24" xfId="0" applyFont="1" applyFill="1" applyBorder="1" applyAlignment="1" applyProtection="1" quotePrefix="1">
      <alignment horizontal="center" vertical="center"/>
      <protection locked="0"/>
    </xf>
    <xf numFmtId="0" fontId="3" fillId="34" borderId="51" xfId="0" applyFont="1" applyFill="1" applyBorder="1" applyAlignment="1" applyProtection="1" quotePrefix="1">
      <alignment horizontal="center" vertical="center"/>
      <protection locked="0"/>
    </xf>
    <xf numFmtId="176" fontId="3" fillId="34" borderId="44" xfId="0" applyNumberFormat="1" applyFont="1" applyFill="1" applyBorder="1" applyAlignment="1" applyProtection="1" quotePrefix="1">
      <alignment horizontal="left" vertical="center"/>
      <protection locked="0"/>
    </xf>
    <xf numFmtId="176" fontId="3" fillId="34" borderId="45" xfId="0" applyNumberFormat="1" applyFont="1" applyFill="1" applyBorder="1" applyAlignment="1" applyProtection="1" quotePrefix="1">
      <alignment horizontal="left" vertical="center"/>
      <protection locked="0"/>
    </xf>
    <xf numFmtId="0" fontId="9" fillId="35" borderId="37" xfId="0" applyFont="1" applyFill="1" applyBorder="1" applyAlignment="1" applyProtection="1">
      <alignment horizontal="center" vertical="center"/>
      <protection locked="0"/>
    </xf>
    <xf numFmtId="0" fontId="9" fillId="35" borderId="36" xfId="0" applyFont="1" applyFill="1" applyBorder="1" applyAlignment="1" applyProtection="1">
      <alignment horizontal="center" vertical="center"/>
      <protection locked="0"/>
    </xf>
    <xf numFmtId="0" fontId="9" fillId="35" borderId="49" xfId="0" applyFont="1" applyFill="1" applyBorder="1" applyAlignment="1" applyProtection="1">
      <alignment horizontal="center" vertical="center"/>
      <protection locked="0"/>
    </xf>
    <xf numFmtId="0" fontId="9" fillId="35" borderId="51" xfId="0" applyFont="1" applyFill="1" applyBorder="1" applyAlignment="1" applyProtection="1">
      <alignment horizontal="center" vertical="center"/>
      <protection locked="0"/>
    </xf>
    <xf numFmtId="176" fontId="3" fillId="34" borderId="35" xfId="0" applyNumberFormat="1" applyFont="1" applyFill="1" applyBorder="1" applyAlignment="1" applyProtection="1">
      <alignment horizontal="center" vertical="center"/>
      <protection locked="0"/>
    </xf>
    <xf numFmtId="176" fontId="3" fillId="34" borderId="27" xfId="0" applyNumberFormat="1" applyFont="1" applyFill="1" applyBorder="1" applyAlignment="1" applyProtection="1">
      <alignment horizontal="center" vertical="center"/>
      <protection locked="0"/>
    </xf>
    <xf numFmtId="176" fontId="3" fillId="34" borderId="28" xfId="0" applyNumberFormat="1" applyFont="1" applyFill="1" applyBorder="1" applyAlignment="1" applyProtection="1">
      <alignment horizontal="center" vertical="center"/>
      <protection locked="0"/>
    </xf>
    <xf numFmtId="176" fontId="3" fillId="34" borderId="36" xfId="0" applyNumberFormat="1" applyFont="1" applyFill="1" applyBorder="1" applyAlignment="1" applyProtection="1">
      <alignment horizontal="center" vertical="center"/>
      <protection locked="0"/>
    </xf>
    <xf numFmtId="178" fontId="0" fillId="33" borderId="0" xfId="0" applyNumberFormat="1" applyFill="1" applyAlignment="1" applyProtection="1">
      <alignment vertical="center"/>
      <protection locked="0"/>
    </xf>
    <xf numFmtId="176" fontId="3" fillId="34" borderId="52" xfId="0" applyNumberFormat="1" applyFont="1" applyFill="1" applyBorder="1" applyAlignment="1" applyProtection="1">
      <alignment vertical="center"/>
      <protection locked="0"/>
    </xf>
    <xf numFmtId="0" fontId="9" fillId="35" borderId="50" xfId="0" applyFont="1" applyFill="1" applyBorder="1" applyAlignment="1" applyProtection="1">
      <alignment horizontal="center" vertical="center"/>
      <protection locked="0"/>
    </xf>
    <xf numFmtId="178" fontId="9" fillId="37" borderId="29" xfId="0" applyNumberFormat="1" applyFont="1" applyFill="1" applyBorder="1" applyAlignment="1" applyProtection="1">
      <alignment vertical="center"/>
      <protection/>
    </xf>
    <xf numFmtId="0" fontId="3" fillId="34" borderId="0" xfId="0" applyFont="1" applyFill="1" applyAlignment="1" applyProtection="1" quotePrefix="1">
      <alignment vertical="center"/>
      <protection locked="0"/>
    </xf>
    <xf numFmtId="0" fontId="0" fillId="33" borderId="0" xfId="0" applyFill="1" applyAlignment="1" applyProtection="1" quotePrefix="1">
      <alignment horizontal="left" vertical="center"/>
      <protection locked="0"/>
    </xf>
    <xf numFmtId="0" fontId="12" fillId="36" borderId="29" xfId="0" applyFont="1" applyFill="1" applyBorder="1" applyAlignment="1" applyProtection="1">
      <alignment vertical="center"/>
      <protection locked="0"/>
    </xf>
    <xf numFmtId="0" fontId="12" fillId="35" borderId="29" xfId="0" applyFont="1" applyFill="1" applyBorder="1" applyAlignment="1" applyProtection="1">
      <alignment vertical="center"/>
      <protection locked="0"/>
    </xf>
    <xf numFmtId="0" fontId="12" fillId="37" borderId="29" xfId="0" applyFont="1" applyFill="1" applyBorder="1" applyAlignment="1" applyProtection="1">
      <alignment vertical="center"/>
      <protection locked="0"/>
    </xf>
    <xf numFmtId="0" fontId="0" fillId="33" borderId="0" xfId="0" applyFill="1" applyAlignment="1" applyProtection="1">
      <alignment horizontal="left" vertical="center"/>
      <protection locked="0"/>
    </xf>
    <xf numFmtId="0" fontId="10" fillId="34" borderId="50" xfId="0" applyFont="1" applyFill="1" applyBorder="1" applyAlignment="1" applyProtection="1">
      <alignment horizontal="center" vertical="center"/>
      <protection locked="0"/>
    </xf>
    <xf numFmtId="0" fontId="10" fillId="34" borderId="47" xfId="0" applyFont="1" applyFill="1" applyBorder="1" applyAlignment="1" applyProtection="1">
      <alignment horizontal="center" vertical="center"/>
      <protection locked="0"/>
    </xf>
    <xf numFmtId="180" fontId="9" fillId="37" borderId="29" xfId="0" applyNumberFormat="1" applyFont="1" applyFill="1" applyBorder="1" applyAlignment="1" applyProtection="1">
      <alignment vertical="center"/>
      <protection/>
    </xf>
    <xf numFmtId="0" fontId="16" fillId="34" borderId="0" xfId="0" applyFont="1" applyFill="1" applyAlignment="1" applyProtection="1">
      <alignment vertical="center"/>
      <protection locked="0"/>
    </xf>
    <xf numFmtId="179" fontId="9" fillId="37" borderId="29" xfId="0" applyNumberFormat="1" applyFont="1" applyFill="1" applyBorder="1" applyAlignment="1">
      <alignment vertical="center"/>
    </xf>
    <xf numFmtId="0" fontId="3" fillId="34" borderId="14" xfId="0" applyFont="1" applyFill="1" applyBorder="1" applyAlignment="1" applyProtection="1" quotePrefix="1">
      <alignment horizontal="left" vertical="center"/>
      <protection locked="0"/>
    </xf>
    <xf numFmtId="0" fontId="3" fillId="33" borderId="0" xfId="0" applyFont="1" applyFill="1" applyAlignment="1" applyProtection="1">
      <alignment vertical="center"/>
      <protection locked="0"/>
    </xf>
    <xf numFmtId="0" fontId="3" fillId="34" borderId="29" xfId="0" applyFont="1" applyFill="1" applyBorder="1" applyAlignment="1" applyProtection="1">
      <alignment horizontal="center" vertical="center"/>
      <protection locked="0"/>
    </xf>
    <xf numFmtId="183" fontId="3" fillId="34" borderId="29" xfId="0" applyNumberFormat="1" applyFont="1" applyFill="1" applyBorder="1" applyAlignment="1" applyProtection="1">
      <alignment horizontal="center" vertical="center"/>
      <protection locked="0"/>
    </xf>
    <xf numFmtId="186" fontId="9" fillId="37" borderId="19" xfId="0" applyNumberFormat="1" applyFont="1" applyFill="1" applyBorder="1" applyAlignment="1" applyProtection="1">
      <alignment vertical="center"/>
      <protection/>
    </xf>
    <xf numFmtId="186" fontId="9" fillId="37" borderId="14" xfId="0" applyNumberFormat="1" applyFont="1" applyFill="1" applyBorder="1" applyAlignment="1" applyProtection="1">
      <alignment vertical="center"/>
      <protection/>
    </xf>
    <xf numFmtId="186" fontId="9" fillId="37" borderId="16" xfId="0" applyNumberFormat="1" applyFont="1" applyFill="1" applyBorder="1" applyAlignment="1" applyProtection="1">
      <alignment vertical="center"/>
      <protection/>
    </xf>
    <xf numFmtId="0" fontId="3" fillId="34" borderId="19" xfId="0" applyFont="1" applyFill="1" applyBorder="1" applyAlignment="1" applyProtection="1" quotePrefix="1">
      <alignment horizontal="center" vertical="center"/>
      <protection locked="0"/>
    </xf>
    <xf numFmtId="0" fontId="3" fillId="34" borderId="16" xfId="0" applyFont="1" applyFill="1" applyBorder="1" applyAlignment="1" applyProtection="1">
      <alignment horizontal="center" vertical="center"/>
      <protection locked="0"/>
    </xf>
    <xf numFmtId="176" fontId="3" fillId="34" borderId="19" xfId="0" applyNumberFormat="1" applyFont="1" applyFill="1" applyBorder="1" applyAlignment="1" applyProtection="1" quotePrefix="1">
      <alignment horizontal="left" vertical="center" wrapText="1"/>
      <protection locked="0"/>
    </xf>
    <xf numFmtId="176" fontId="3" fillId="0" borderId="14" xfId="0" applyNumberFormat="1" applyFont="1" applyBorder="1" applyAlignment="1" applyProtection="1">
      <alignment vertical="center" wrapText="1"/>
      <protection locked="0"/>
    </xf>
    <xf numFmtId="176" fontId="3" fillId="0" borderId="16" xfId="0" applyNumberFormat="1" applyFont="1" applyBorder="1" applyAlignment="1" applyProtection="1">
      <alignment vertical="center" wrapText="1"/>
      <protection locked="0"/>
    </xf>
    <xf numFmtId="178" fontId="9" fillId="37" borderId="14" xfId="0" applyNumberFormat="1" applyFont="1" applyFill="1" applyBorder="1" applyAlignment="1" applyProtection="1">
      <alignment vertical="center"/>
      <protection/>
    </xf>
    <xf numFmtId="178" fontId="9" fillId="37" borderId="16" xfId="0" applyNumberFormat="1" applyFont="1" applyFill="1" applyBorder="1" applyAlignment="1" applyProtection="1">
      <alignment vertical="center"/>
      <protection/>
    </xf>
    <xf numFmtId="0" fontId="3" fillId="34" borderId="15" xfId="0" applyFont="1" applyFill="1" applyBorder="1" applyAlignment="1" applyProtection="1">
      <alignment horizontal="left" vertical="center"/>
      <protection locked="0"/>
    </xf>
    <xf numFmtId="0" fontId="3" fillId="34" borderId="17" xfId="0" applyFont="1" applyFill="1" applyBorder="1" applyAlignment="1">
      <alignment vertical="center"/>
    </xf>
    <xf numFmtId="178" fontId="9" fillId="37" borderId="19" xfId="0" applyNumberFormat="1" applyFont="1" applyFill="1" applyBorder="1" applyAlignment="1" applyProtection="1">
      <alignment vertical="center"/>
      <protection/>
    </xf>
    <xf numFmtId="178" fontId="9" fillId="37" borderId="24" xfId="0" applyNumberFormat="1" applyFont="1" applyFill="1" applyBorder="1" applyAlignment="1" applyProtection="1">
      <alignment vertical="center"/>
      <protection/>
    </xf>
    <xf numFmtId="178" fontId="9" fillId="37" borderId="25" xfId="0" applyNumberFormat="1" applyFont="1" applyFill="1" applyBorder="1" applyAlignment="1" applyProtection="1">
      <alignment vertical="center"/>
      <protection/>
    </xf>
    <xf numFmtId="178" fontId="10" fillId="36" borderId="19" xfId="0" applyNumberFormat="1" applyFont="1" applyFill="1" applyBorder="1" applyAlignment="1" applyProtection="1">
      <alignment vertical="center"/>
      <protection locked="0"/>
    </xf>
    <xf numFmtId="178" fontId="10" fillId="36" borderId="16" xfId="0" applyNumberFormat="1" applyFont="1" applyFill="1" applyBorder="1" applyAlignment="1" applyProtection="1">
      <alignment vertical="center"/>
      <protection locked="0"/>
    </xf>
    <xf numFmtId="178" fontId="9" fillId="37" borderId="20" xfId="0" applyNumberFormat="1" applyFont="1" applyFill="1" applyBorder="1" applyAlignment="1" applyProtection="1">
      <alignment vertical="center"/>
      <protection/>
    </xf>
    <xf numFmtId="178" fontId="9" fillId="37" borderId="17" xfId="0" applyNumberFormat="1" applyFont="1" applyFill="1" applyBorder="1" applyAlignment="1" applyProtection="1">
      <alignment vertical="center"/>
      <protection/>
    </xf>
    <xf numFmtId="176" fontId="10" fillId="36" borderId="19" xfId="0" applyNumberFormat="1" applyFont="1" applyFill="1" applyBorder="1" applyAlignment="1" applyProtection="1">
      <alignment vertical="center"/>
      <protection locked="0"/>
    </xf>
    <xf numFmtId="176" fontId="10" fillId="36" borderId="14" xfId="0" applyNumberFormat="1" applyFont="1" applyFill="1" applyBorder="1" applyAlignment="1" applyProtection="1">
      <alignment vertical="center"/>
      <protection locked="0"/>
    </xf>
    <xf numFmtId="176" fontId="10" fillId="36" borderId="16" xfId="0" applyNumberFormat="1" applyFont="1" applyFill="1" applyBorder="1" applyAlignment="1" applyProtection="1">
      <alignment vertical="center"/>
      <protection locked="0"/>
    </xf>
    <xf numFmtId="0" fontId="3" fillId="34" borderId="22" xfId="0" applyFont="1" applyFill="1" applyBorder="1" applyAlignment="1" applyProtection="1" quotePrefix="1">
      <alignment horizontal="center" vertical="center"/>
      <protection locked="0"/>
    </xf>
    <xf numFmtId="0" fontId="3" fillId="34" borderId="23" xfId="0" applyFont="1" applyFill="1" applyBorder="1" applyAlignment="1" applyProtection="1">
      <alignment horizontal="center" vertical="center"/>
      <protection locked="0"/>
    </xf>
    <xf numFmtId="0" fontId="3" fillId="34" borderId="24" xfId="0" applyFont="1" applyFill="1" applyBorder="1" applyAlignment="1" applyProtection="1">
      <alignment horizontal="center" vertical="center"/>
      <protection locked="0"/>
    </xf>
    <xf numFmtId="0" fontId="3" fillId="34" borderId="25" xfId="0" applyFont="1" applyFill="1" applyBorder="1" applyAlignment="1" applyProtection="1">
      <alignment horizontal="center" vertical="center"/>
      <protection locked="0"/>
    </xf>
    <xf numFmtId="0" fontId="3" fillId="34" borderId="19" xfId="0" applyNumberFormat="1" applyFont="1" applyFill="1" applyBorder="1" applyAlignment="1" applyProtection="1" quotePrefix="1">
      <alignment horizontal="center" vertical="center"/>
      <protection locked="0"/>
    </xf>
    <xf numFmtId="0" fontId="3" fillId="34" borderId="14" xfId="0" applyNumberFormat="1" applyFont="1" applyFill="1" applyBorder="1" applyAlignment="1" applyProtection="1">
      <alignment horizontal="center" vertical="center"/>
      <protection locked="0"/>
    </xf>
    <xf numFmtId="0" fontId="3" fillId="34" borderId="16" xfId="0" applyNumberFormat="1" applyFont="1" applyFill="1" applyBorder="1" applyAlignment="1" applyProtection="1">
      <alignment horizontal="center" vertical="center"/>
      <protection locked="0"/>
    </xf>
    <xf numFmtId="179" fontId="10" fillId="36" borderId="19" xfId="0" applyNumberFormat="1" applyFont="1" applyFill="1" applyBorder="1" applyAlignment="1" applyProtection="1">
      <alignment vertical="center"/>
      <protection locked="0"/>
    </xf>
    <xf numFmtId="179" fontId="10" fillId="36" borderId="14" xfId="0" applyNumberFormat="1" applyFont="1" applyFill="1" applyBorder="1" applyAlignment="1" applyProtection="1">
      <alignment vertical="center"/>
      <protection locked="0"/>
    </xf>
    <xf numFmtId="178" fontId="10" fillId="36" borderId="14" xfId="0" applyNumberFormat="1" applyFont="1" applyFill="1" applyBorder="1" applyAlignment="1" applyProtection="1">
      <alignment vertical="center"/>
      <protection locked="0"/>
    </xf>
    <xf numFmtId="0" fontId="3" fillId="34" borderId="41" xfId="0" applyFont="1" applyFill="1" applyBorder="1" applyAlignment="1" applyProtection="1" quotePrefix="1">
      <alignment horizontal="center" vertical="center" textRotation="255"/>
      <protection locked="0"/>
    </xf>
    <xf numFmtId="0" fontId="3" fillId="34" borderId="43" xfId="0" applyFont="1" applyFill="1" applyBorder="1" applyAlignment="1" applyProtection="1">
      <alignment vertical="center" textRotation="255"/>
      <protection locked="0"/>
    </xf>
    <xf numFmtId="0" fontId="3" fillId="34" borderId="52" xfId="0" applyFont="1" applyFill="1" applyBorder="1" applyAlignment="1" applyProtection="1">
      <alignment vertical="center" textRotation="255"/>
      <protection locked="0"/>
    </xf>
    <xf numFmtId="0" fontId="3" fillId="34" borderId="42" xfId="0" applyFont="1" applyFill="1" applyBorder="1" applyAlignment="1" applyProtection="1">
      <alignment vertical="center" textRotation="255"/>
      <protection locked="0"/>
    </xf>
    <xf numFmtId="186" fontId="10" fillId="36" borderId="19" xfId="0" applyNumberFormat="1" applyFont="1" applyFill="1" applyBorder="1" applyAlignment="1" applyProtection="1">
      <alignment vertical="center"/>
      <protection locked="0"/>
    </xf>
    <xf numFmtId="186" fontId="10" fillId="36" borderId="14" xfId="0" applyNumberFormat="1" applyFont="1" applyFill="1" applyBorder="1" applyAlignment="1" applyProtection="1">
      <alignment vertical="center"/>
      <protection locked="0"/>
    </xf>
    <xf numFmtId="186" fontId="10" fillId="36" borderId="16" xfId="0" applyNumberFormat="1" applyFont="1" applyFill="1" applyBorder="1" applyAlignment="1" applyProtection="1">
      <alignment vertical="center"/>
      <protection locked="0"/>
    </xf>
    <xf numFmtId="176" fontId="10" fillId="34" borderId="19" xfId="0" applyNumberFormat="1" applyFont="1" applyFill="1" applyBorder="1" applyAlignment="1" applyProtection="1">
      <alignment vertical="center"/>
      <protection locked="0"/>
    </xf>
    <xf numFmtId="176" fontId="10" fillId="34" borderId="14" xfId="0" applyNumberFormat="1" applyFont="1" applyFill="1" applyBorder="1" applyAlignment="1" applyProtection="1">
      <alignment vertical="center"/>
      <protection locked="0"/>
    </xf>
    <xf numFmtId="176" fontId="10" fillId="34" borderId="16" xfId="0" applyNumberFormat="1" applyFont="1" applyFill="1" applyBorder="1" applyAlignment="1" applyProtection="1">
      <alignment vertical="center"/>
      <protection locked="0"/>
    </xf>
    <xf numFmtId="0" fontId="3" fillId="34" borderId="19" xfId="0" applyFont="1" applyFill="1" applyBorder="1" applyAlignment="1" applyProtection="1">
      <alignment horizontal="center" vertical="center"/>
      <protection locked="0"/>
    </xf>
    <xf numFmtId="176" fontId="9" fillId="34" borderId="19" xfId="0" applyNumberFormat="1" applyFont="1" applyFill="1" applyBorder="1" applyAlignment="1" applyProtection="1" quotePrefix="1">
      <alignment horizontal="left" vertical="center"/>
      <protection locked="0"/>
    </xf>
    <xf numFmtId="176" fontId="9" fillId="0" borderId="14" xfId="0" applyNumberFormat="1" applyFont="1" applyBorder="1" applyAlignment="1" applyProtection="1">
      <alignment vertical="center"/>
      <protection locked="0"/>
    </xf>
    <xf numFmtId="184" fontId="10" fillId="36" borderId="14" xfId="0" applyNumberFormat="1" applyFont="1" applyFill="1" applyBorder="1" applyAlignment="1" applyProtection="1">
      <alignment horizontal="left" vertical="center"/>
      <protection locked="0"/>
    </xf>
    <xf numFmtId="184" fontId="10" fillId="36" borderId="16" xfId="0" applyNumberFormat="1" applyFont="1" applyFill="1" applyBorder="1" applyAlignment="1" applyProtection="1">
      <alignment horizontal="left" vertical="center"/>
      <protection locked="0"/>
    </xf>
    <xf numFmtId="0" fontId="3" fillId="34" borderId="27" xfId="0" applyFont="1" applyFill="1" applyBorder="1" applyAlignment="1" applyProtection="1">
      <alignment horizontal="center" vertical="center"/>
      <protection locked="0"/>
    </xf>
    <xf numFmtId="0" fontId="0" fillId="0" borderId="27" xfId="0" applyBorder="1" applyAlignment="1">
      <alignment horizontal="center" vertical="center"/>
    </xf>
    <xf numFmtId="0" fontId="3" fillId="34" borderId="28" xfId="0" applyFont="1" applyFill="1" applyBorder="1" applyAlignment="1" applyProtection="1">
      <alignment horizontal="center" vertical="center"/>
      <protection locked="0"/>
    </xf>
    <xf numFmtId="0" fontId="0" fillId="0" borderId="28" xfId="0" applyBorder="1" applyAlignment="1">
      <alignment horizontal="center" vertical="center"/>
    </xf>
    <xf numFmtId="0" fontId="0" fillId="34" borderId="40" xfId="0" applyFill="1" applyBorder="1" applyAlignment="1" applyProtection="1" quotePrefix="1">
      <alignment horizontal="right" vertical="center"/>
      <protection locked="0"/>
    </xf>
    <xf numFmtId="0" fontId="0" fillId="34" borderId="44" xfId="0" applyFill="1" applyBorder="1" applyAlignment="1" applyProtection="1">
      <alignment horizontal="right" vertical="center"/>
      <protection locked="0"/>
    </xf>
    <xf numFmtId="0" fontId="0" fillId="0" borderId="44" xfId="0" applyBorder="1" applyAlignment="1">
      <alignment vertical="center"/>
    </xf>
    <xf numFmtId="0" fontId="0" fillId="0" borderId="29" xfId="0" applyBorder="1" applyAlignment="1">
      <alignment horizontal="center" vertical="center"/>
    </xf>
    <xf numFmtId="0" fontId="3" fillId="34" borderId="51" xfId="0" applyFont="1" applyFill="1" applyBorder="1" applyAlignment="1" applyProtection="1">
      <alignment horizontal="center" vertical="center"/>
      <protection locked="0"/>
    </xf>
    <xf numFmtId="0" fontId="0" fillId="0" borderId="51" xfId="0" applyBorder="1" applyAlignment="1">
      <alignment horizontal="center" vertical="center"/>
    </xf>
    <xf numFmtId="0" fontId="3" fillId="34" borderId="48" xfId="0" applyFont="1" applyFill="1" applyBorder="1" applyAlignment="1" applyProtection="1" quotePrefix="1">
      <alignment horizontal="center" vertical="center"/>
      <protection locked="0"/>
    </xf>
    <xf numFmtId="0" fontId="3" fillId="0" borderId="48" xfId="0" applyFont="1" applyBorder="1" applyAlignment="1">
      <alignment horizontal="center" vertical="center"/>
    </xf>
    <xf numFmtId="0" fontId="0" fillId="34" borderId="53" xfId="0" applyFill="1" applyBorder="1" applyAlignment="1" applyProtection="1">
      <alignment horizontal="right" vertical="center"/>
      <protection locked="0"/>
    </xf>
    <xf numFmtId="0" fontId="0" fillId="0" borderId="10" xfId="0" applyBorder="1" applyAlignment="1">
      <alignment horizontal="right" vertical="center"/>
    </xf>
    <xf numFmtId="0" fontId="0" fillId="0" borderId="54" xfId="0" applyBorder="1" applyAlignment="1">
      <alignment horizontal="right" vertical="center"/>
    </xf>
    <xf numFmtId="0" fontId="0" fillId="0" borderId="12" xfId="0" applyBorder="1" applyAlignment="1">
      <alignment horizontal="right" vertical="center"/>
    </xf>
    <xf numFmtId="176" fontId="0" fillId="34" borderId="43" xfId="0" applyNumberFormat="1" applyFill="1" applyBorder="1" applyAlignment="1" applyProtection="1">
      <alignment vertical="center"/>
      <protection locked="0"/>
    </xf>
    <xf numFmtId="176" fontId="0" fillId="0" borderId="33" xfId="0" applyNumberFormat="1" applyBorder="1" applyAlignment="1">
      <alignment vertical="center"/>
    </xf>
    <xf numFmtId="176" fontId="0" fillId="0" borderId="55" xfId="0" applyNumberFormat="1" applyBorder="1" applyAlignment="1">
      <alignment vertical="center"/>
    </xf>
    <xf numFmtId="176" fontId="0" fillId="0" borderId="56" xfId="0" applyNumberFormat="1" applyBorder="1" applyAlignment="1">
      <alignment vertical="center"/>
    </xf>
    <xf numFmtId="176" fontId="0" fillId="0" borderId="57" xfId="0" applyNumberFormat="1" applyBorder="1" applyAlignment="1">
      <alignment vertical="center"/>
    </xf>
    <xf numFmtId="176" fontId="0" fillId="0" borderId="58" xfId="0" applyNumberFormat="1" applyBorder="1" applyAlignment="1">
      <alignment vertical="center"/>
    </xf>
    <xf numFmtId="176" fontId="0" fillId="34" borderId="59" xfId="0" applyNumberFormat="1" applyFill="1" applyBorder="1" applyAlignment="1" applyProtection="1">
      <alignment vertical="center"/>
      <protection locked="0"/>
    </xf>
    <xf numFmtId="176" fontId="0" fillId="34" borderId="60" xfId="0" applyNumberFormat="1" applyFill="1" applyBorder="1" applyAlignment="1" applyProtection="1">
      <alignment vertical="center"/>
      <protection locked="0"/>
    </xf>
    <xf numFmtId="176" fontId="0" fillId="34" borderId="61" xfId="0" applyNumberFormat="1" applyFill="1" applyBorder="1" applyAlignment="1" applyProtection="1">
      <alignment vertical="center"/>
      <protection locked="0"/>
    </xf>
    <xf numFmtId="0" fontId="0" fillId="34" borderId="62" xfId="0" applyFill="1" applyBorder="1" applyAlignment="1" applyProtection="1">
      <alignment horizontal="right" vertical="center"/>
      <protection locked="0"/>
    </xf>
    <xf numFmtId="0" fontId="0" fillId="0" borderId="0" xfId="0" applyBorder="1" applyAlignment="1">
      <alignment horizontal="right" vertical="center"/>
    </xf>
    <xf numFmtId="0" fontId="0" fillId="0" borderId="62" xfId="0" applyBorder="1" applyAlignment="1">
      <alignment horizontal="right" vertical="center"/>
    </xf>
    <xf numFmtId="0" fontId="4" fillId="34" borderId="10" xfId="0"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0" fontId="3" fillId="34" borderId="10" xfId="0" applyFont="1" applyFill="1" applyBorder="1" applyAlignment="1" applyProtection="1">
      <alignment vertical="center"/>
      <protection locked="0"/>
    </xf>
    <xf numFmtId="0" fontId="3" fillId="0" borderId="63" xfId="0" applyFont="1" applyBorder="1" applyAlignment="1">
      <alignment vertical="center"/>
    </xf>
    <xf numFmtId="0" fontId="3" fillId="34" borderId="12" xfId="0" applyFont="1" applyFill="1" applyBorder="1" applyAlignment="1" applyProtection="1">
      <alignment vertical="center"/>
      <protection locked="0"/>
    </xf>
    <xf numFmtId="0" fontId="3" fillId="0" borderId="64" xfId="0" applyFont="1" applyBorder="1" applyAlignment="1">
      <alignment vertical="center"/>
    </xf>
    <xf numFmtId="0" fontId="3" fillId="0" borderId="45" xfId="0" applyFont="1" applyBorder="1" applyAlignment="1">
      <alignment vertical="center"/>
    </xf>
    <xf numFmtId="0" fontId="10" fillId="34" borderId="28" xfId="0" applyFont="1" applyFill="1" applyBorder="1" applyAlignment="1" applyProtection="1">
      <alignment horizontal="center" vertical="center"/>
      <protection locked="0"/>
    </xf>
    <xf numFmtId="178" fontId="9" fillId="37" borderId="28" xfId="0" applyNumberFormat="1" applyFont="1" applyFill="1" applyBorder="1" applyAlignment="1" applyProtection="1">
      <alignment vertical="center"/>
      <protection/>
    </xf>
    <xf numFmtId="178" fontId="9" fillId="37" borderId="27" xfId="0" applyNumberFormat="1" applyFont="1" applyFill="1" applyBorder="1" applyAlignment="1" applyProtection="1">
      <alignment vertical="center"/>
      <protection/>
    </xf>
    <xf numFmtId="0" fontId="3" fillId="0" borderId="33" xfId="0" applyFont="1" applyBorder="1" applyAlignment="1">
      <alignment vertical="center"/>
    </xf>
    <xf numFmtId="178" fontId="10" fillId="36" borderId="27" xfId="0" applyNumberFormat="1" applyFont="1" applyFill="1" applyBorder="1" applyAlignment="1" applyProtection="1">
      <alignment vertical="center"/>
      <protection locked="0"/>
    </xf>
    <xf numFmtId="178" fontId="10" fillId="34" borderId="27" xfId="0" applyNumberFormat="1" applyFont="1" applyFill="1" applyBorder="1" applyAlignment="1" applyProtection="1">
      <alignment vertical="center"/>
      <protection locked="0"/>
    </xf>
    <xf numFmtId="182" fontId="9" fillId="37" borderId="44" xfId="0" applyNumberFormat="1" applyFont="1" applyFill="1" applyBorder="1" applyAlignment="1" applyProtection="1">
      <alignment vertical="center"/>
      <protection/>
    </xf>
    <xf numFmtId="182" fontId="9" fillId="37" borderId="46" xfId="0" applyNumberFormat="1" applyFont="1" applyFill="1" applyBorder="1" applyAlignment="1" applyProtection="1">
      <alignment vertical="center"/>
      <protection/>
    </xf>
    <xf numFmtId="0" fontId="3" fillId="34" borderId="35" xfId="0" applyFont="1" applyFill="1" applyBorder="1" applyAlignment="1" applyProtection="1">
      <alignment horizontal="center" vertical="center"/>
      <protection locked="0"/>
    </xf>
    <xf numFmtId="178" fontId="9" fillId="37" borderId="0" xfId="0" applyNumberFormat="1" applyFont="1" applyFill="1" applyBorder="1" applyAlignment="1" applyProtection="1">
      <alignment vertical="center"/>
      <protection/>
    </xf>
    <xf numFmtId="178" fontId="9" fillId="37" borderId="18" xfId="0" applyNumberFormat="1" applyFont="1" applyFill="1" applyBorder="1" applyAlignment="1" applyProtection="1">
      <alignment vertical="center"/>
      <protection/>
    </xf>
    <xf numFmtId="0" fontId="3" fillId="34" borderId="24" xfId="0" applyFont="1" applyFill="1" applyBorder="1" applyAlignment="1" applyProtection="1" quotePrefix="1">
      <alignment horizontal="center" vertical="center"/>
      <protection locked="0"/>
    </xf>
    <xf numFmtId="0" fontId="3" fillId="34" borderId="13" xfId="0" applyFont="1" applyFill="1" applyBorder="1" applyAlignment="1">
      <alignment horizontal="center" vertical="center"/>
    </xf>
    <xf numFmtId="0" fontId="3" fillId="34" borderId="25" xfId="0" applyFont="1" applyFill="1" applyBorder="1" applyAlignment="1">
      <alignment horizontal="center" vertical="center"/>
    </xf>
    <xf numFmtId="176" fontId="3" fillId="37" borderId="20" xfId="0" applyNumberFormat="1" applyFont="1" applyFill="1" applyBorder="1" applyAlignment="1" applyProtection="1">
      <alignment vertical="center"/>
      <protection locked="0"/>
    </xf>
    <xf numFmtId="176" fontId="3" fillId="37" borderId="15" xfId="0" applyNumberFormat="1" applyFont="1" applyFill="1" applyBorder="1" applyAlignment="1">
      <alignment vertical="center"/>
    </xf>
    <xf numFmtId="0" fontId="9" fillId="35" borderId="35" xfId="0" applyFont="1" applyFill="1" applyBorder="1" applyAlignment="1" applyProtection="1">
      <alignment horizontal="center" vertical="center"/>
      <protection locked="0"/>
    </xf>
    <xf numFmtId="0" fontId="0" fillId="35" borderId="65" xfId="0" applyFill="1" applyBorder="1" applyAlignment="1" applyProtection="1">
      <alignment horizontal="center" vertical="center"/>
      <protection locked="0"/>
    </xf>
    <xf numFmtId="0" fontId="3" fillId="34" borderId="10" xfId="0" applyFont="1" applyFill="1" applyBorder="1" applyAlignment="1" applyProtection="1" quotePrefix="1">
      <alignment horizontal="left" vertical="center"/>
      <protection locked="0"/>
    </xf>
    <xf numFmtId="0" fontId="3" fillId="0" borderId="50" xfId="0" applyFont="1" applyBorder="1" applyAlignment="1">
      <alignment vertical="center"/>
    </xf>
    <xf numFmtId="0" fontId="3" fillId="0" borderId="12" xfId="0" applyFont="1" applyBorder="1" applyAlignment="1">
      <alignment vertical="center"/>
    </xf>
    <xf numFmtId="0" fontId="3" fillId="0" borderId="66" xfId="0" applyFont="1" applyBorder="1" applyAlignment="1">
      <alignment vertical="center"/>
    </xf>
    <xf numFmtId="0" fontId="3" fillId="34" borderId="10" xfId="0" applyFont="1" applyFill="1" applyBorder="1" applyAlignment="1" applyProtection="1">
      <alignment horizontal="left" vertical="center"/>
      <protection locked="0"/>
    </xf>
    <xf numFmtId="0" fontId="3" fillId="0" borderId="14" xfId="0" applyFont="1" applyBorder="1" applyAlignment="1">
      <alignment vertical="center"/>
    </xf>
    <xf numFmtId="0" fontId="3" fillId="0" borderId="16" xfId="0" applyFont="1" applyBorder="1" applyAlignment="1">
      <alignment vertical="center"/>
    </xf>
    <xf numFmtId="0" fontId="3" fillId="34" borderId="22" xfId="0" applyFont="1" applyFill="1" applyBorder="1" applyAlignment="1" applyProtection="1">
      <alignment horizontal="right" vertical="center"/>
      <protection locked="0"/>
    </xf>
    <xf numFmtId="0" fontId="3" fillId="0" borderId="11" xfId="0" applyFont="1" applyBorder="1" applyAlignment="1">
      <alignment vertical="center"/>
    </xf>
    <xf numFmtId="0" fontId="3" fillId="0" borderId="67" xfId="0" applyFont="1" applyBorder="1" applyAlignment="1">
      <alignment vertical="center"/>
    </xf>
    <xf numFmtId="0" fontId="3" fillId="34" borderId="52" xfId="0" applyFont="1" applyFill="1" applyBorder="1" applyAlignment="1" applyProtection="1">
      <alignment horizontal="right" vertical="center"/>
      <protection locked="0"/>
    </xf>
    <xf numFmtId="0" fontId="3" fillId="0" borderId="10" xfId="0" applyFont="1" applyBorder="1" applyAlignment="1">
      <alignment vertical="center"/>
    </xf>
    <xf numFmtId="0" fontId="3" fillId="34" borderId="52" xfId="0" applyFont="1" applyFill="1" applyBorder="1" applyAlignment="1" applyProtection="1" quotePrefix="1">
      <alignment horizontal="right" vertical="center"/>
      <protection locked="0"/>
    </xf>
    <xf numFmtId="0" fontId="3" fillId="34" borderId="10" xfId="0" applyFont="1" applyFill="1" applyBorder="1" applyAlignment="1">
      <alignment vertical="center"/>
    </xf>
    <xf numFmtId="0" fontId="3" fillId="34" borderId="67" xfId="0" applyFont="1" applyFill="1" applyBorder="1" applyAlignment="1">
      <alignment vertical="center"/>
    </xf>
    <xf numFmtId="0" fontId="3" fillId="34" borderId="12" xfId="0" applyFont="1" applyFill="1" applyBorder="1" applyAlignment="1">
      <alignment vertical="center"/>
    </xf>
    <xf numFmtId="0" fontId="3" fillId="34" borderId="41" xfId="0" applyFont="1" applyFill="1" applyBorder="1" applyAlignment="1" applyProtection="1">
      <alignment horizontal="center" vertical="center"/>
      <protection locked="0"/>
    </xf>
    <xf numFmtId="0" fontId="3" fillId="34" borderId="44" xfId="0" applyFont="1" applyFill="1" applyBorder="1" applyAlignment="1">
      <alignment vertical="center"/>
    </xf>
    <xf numFmtId="0" fontId="3" fillId="34" borderId="46" xfId="0" applyFont="1" applyFill="1" applyBorder="1" applyAlignment="1">
      <alignment vertical="center"/>
    </xf>
    <xf numFmtId="0" fontId="3" fillId="34" borderId="42" xfId="0" applyFont="1" applyFill="1" applyBorder="1" applyAlignment="1" applyProtection="1">
      <alignment horizontal="center" vertical="center"/>
      <protection locked="0"/>
    </xf>
    <xf numFmtId="0" fontId="3" fillId="34" borderId="45" xfId="0" applyFont="1" applyFill="1" applyBorder="1" applyAlignment="1">
      <alignment vertical="center"/>
    </xf>
    <xf numFmtId="0" fontId="3" fillId="34" borderId="47" xfId="0" applyFont="1" applyFill="1" applyBorder="1" applyAlignment="1">
      <alignment vertical="center"/>
    </xf>
    <xf numFmtId="0" fontId="3" fillId="34" borderId="43" xfId="0" applyFont="1" applyFill="1" applyBorder="1" applyAlignment="1" applyProtection="1">
      <alignment horizontal="center" vertical="center"/>
      <protection locked="0"/>
    </xf>
    <xf numFmtId="0" fontId="3" fillId="34" borderId="33" xfId="0" applyFont="1" applyFill="1" applyBorder="1" applyAlignment="1">
      <alignment vertical="center"/>
    </xf>
    <xf numFmtId="0" fontId="3" fillId="34" borderId="34" xfId="0" applyFont="1" applyFill="1" applyBorder="1" applyAlignment="1">
      <alignment vertical="center"/>
    </xf>
    <xf numFmtId="0" fontId="3" fillId="0" borderId="34" xfId="0" applyFont="1" applyBorder="1" applyAlignment="1">
      <alignment vertical="center"/>
    </xf>
    <xf numFmtId="0" fontId="3" fillId="0" borderId="13" xfId="0" applyFont="1" applyBorder="1" applyAlignment="1">
      <alignment vertical="center"/>
    </xf>
    <xf numFmtId="0" fontId="3" fillId="0" borderId="47" xfId="0" applyFont="1" applyBorder="1" applyAlignment="1">
      <alignment vertical="center"/>
    </xf>
    <xf numFmtId="0" fontId="10" fillId="36" borderId="28" xfId="0" applyFont="1" applyFill="1" applyBorder="1" applyAlignment="1" applyProtection="1">
      <alignment horizontal="center" vertical="center"/>
      <protection locked="0"/>
    </xf>
    <xf numFmtId="176" fontId="3" fillId="34" borderId="35" xfId="0" applyNumberFormat="1" applyFont="1" applyFill="1" applyBorder="1" applyAlignment="1" applyProtection="1">
      <alignment vertical="center"/>
      <protection locked="0"/>
    </xf>
    <xf numFmtId="176" fontId="3" fillId="34" borderId="67" xfId="0" applyNumberFormat="1" applyFont="1" applyFill="1" applyBorder="1" applyAlignment="1" applyProtection="1">
      <alignment vertical="center"/>
      <protection locked="0"/>
    </xf>
    <xf numFmtId="176" fontId="3" fillId="34" borderId="12" xfId="0" applyNumberFormat="1" applyFont="1" applyFill="1" applyBorder="1" applyAlignment="1" applyProtection="1">
      <alignment vertical="center"/>
      <protection locked="0"/>
    </xf>
    <xf numFmtId="176" fontId="3" fillId="34" borderId="66" xfId="0" applyNumberFormat="1" applyFont="1" applyFill="1" applyBorder="1" applyAlignment="1" applyProtection="1">
      <alignment vertical="center"/>
      <protection locked="0"/>
    </xf>
    <xf numFmtId="176" fontId="3" fillId="34" borderId="27" xfId="0" applyNumberFormat="1" applyFont="1" applyFill="1" applyBorder="1" applyAlignment="1" applyProtection="1">
      <alignment vertical="center"/>
      <protection locked="0"/>
    </xf>
    <xf numFmtId="176" fontId="3" fillId="34" borderId="28" xfId="0" applyNumberFormat="1" applyFont="1" applyFill="1" applyBorder="1" applyAlignment="1" applyProtection="1" quotePrefix="1">
      <alignment horizontal="left" vertical="center"/>
      <protection locked="0"/>
    </xf>
    <xf numFmtId="176" fontId="3" fillId="34" borderId="28" xfId="0" applyNumberFormat="1" applyFont="1" applyFill="1" applyBorder="1" applyAlignment="1" applyProtection="1">
      <alignment vertical="center"/>
      <protection locked="0"/>
    </xf>
    <xf numFmtId="0" fontId="9" fillId="35" borderId="65" xfId="0" applyFont="1" applyFill="1" applyBorder="1" applyAlignment="1" applyProtection="1">
      <alignment horizontal="center" vertical="center"/>
      <protection locked="0"/>
    </xf>
    <xf numFmtId="0" fontId="3" fillId="34" borderId="22" xfId="0" applyFont="1" applyFill="1" applyBorder="1" applyAlignment="1" applyProtection="1">
      <alignment horizontal="center" vertical="center"/>
      <protection locked="0"/>
    </xf>
    <xf numFmtId="0" fontId="3" fillId="0" borderId="67" xfId="0" applyFont="1" applyBorder="1" applyAlignment="1">
      <alignment horizontal="center" vertical="center"/>
    </xf>
    <xf numFmtId="0" fontId="3" fillId="0" borderId="66" xfId="0" applyFont="1" applyBorder="1" applyAlignment="1">
      <alignment horizontal="center" vertical="center"/>
    </xf>
    <xf numFmtId="178" fontId="9" fillId="37" borderId="22" xfId="0" applyNumberFormat="1" applyFont="1" applyFill="1" applyBorder="1" applyAlignment="1" applyProtection="1">
      <alignment vertical="center"/>
      <protection/>
    </xf>
    <xf numFmtId="178" fontId="9" fillId="37" borderId="23" xfId="0" applyNumberFormat="1" applyFont="1" applyFill="1" applyBorder="1" applyAlignment="1" applyProtection="1">
      <alignment vertical="center"/>
      <protection/>
    </xf>
    <xf numFmtId="0" fontId="3" fillId="34" borderId="19" xfId="0" applyFont="1" applyFill="1" applyBorder="1" applyAlignment="1" applyProtection="1" quotePrefix="1">
      <alignment horizontal="right" vertical="center"/>
      <protection locked="0"/>
    </xf>
    <xf numFmtId="0" fontId="3" fillId="34" borderId="14" xfId="0" applyFont="1" applyFill="1" applyBorder="1" applyAlignment="1" applyProtection="1">
      <alignment horizontal="right" vertical="center"/>
      <protection locked="0"/>
    </xf>
    <xf numFmtId="0" fontId="3" fillId="34" borderId="14" xfId="0" applyFont="1" applyFill="1" applyBorder="1" applyAlignment="1" applyProtection="1">
      <alignment horizontal="left" vertical="center"/>
      <protection locked="0"/>
    </xf>
    <xf numFmtId="0" fontId="3" fillId="34" borderId="14" xfId="0" applyFont="1" applyFill="1" applyBorder="1" applyAlignment="1" applyProtection="1">
      <alignment vertical="center"/>
      <protection locked="0"/>
    </xf>
    <xf numFmtId="0" fontId="3" fillId="34" borderId="16" xfId="0" applyFont="1" applyFill="1" applyBorder="1" applyAlignment="1" applyProtection="1">
      <alignment vertical="center"/>
      <protection locked="0"/>
    </xf>
    <xf numFmtId="178" fontId="9" fillId="37" borderId="19" xfId="0" applyNumberFormat="1" applyFont="1" applyFill="1" applyBorder="1" applyAlignment="1">
      <alignment vertical="center"/>
    </xf>
    <xf numFmtId="178" fontId="9" fillId="37" borderId="16" xfId="0" applyNumberFormat="1" applyFont="1" applyFill="1" applyBorder="1" applyAlignment="1">
      <alignment vertical="center"/>
    </xf>
    <xf numFmtId="0" fontId="3" fillId="34" borderId="14" xfId="0" applyFont="1" applyFill="1" applyBorder="1" applyAlignment="1" applyProtection="1">
      <alignment horizontal="center" vertical="center"/>
      <protection locked="0"/>
    </xf>
    <xf numFmtId="0" fontId="3" fillId="34" borderId="14" xfId="0" applyFont="1" applyFill="1" applyBorder="1" applyAlignment="1" quotePrefix="1">
      <alignment horizontal="center" vertical="center"/>
    </xf>
    <xf numFmtId="0" fontId="0" fillId="33" borderId="14" xfId="0" applyFill="1" applyBorder="1" applyAlignment="1" applyProtection="1">
      <alignment horizontal="center" vertical="center"/>
      <protection locked="0"/>
    </xf>
    <xf numFmtId="182" fontId="9" fillId="37" borderId="45" xfId="0" applyNumberFormat="1" applyFont="1" applyFill="1" applyBorder="1" applyAlignment="1" applyProtection="1">
      <alignment vertical="center"/>
      <protection/>
    </xf>
    <xf numFmtId="182" fontId="9" fillId="37" borderId="47" xfId="0" applyNumberFormat="1" applyFont="1" applyFill="1" applyBorder="1" applyAlignment="1" applyProtection="1">
      <alignment vertical="center"/>
      <protection/>
    </xf>
    <xf numFmtId="182" fontId="9" fillId="37" borderId="52" xfId="0" applyNumberFormat="1" applyFont="1" applyFill="1" applyBorder="1" applyAlignment="1" applyProtection="1">
      <alignment vertical="center"/>
      <protection/>
    </xf>
    <xf numFmtId="182" fontId="9" fillId="37" borderId="50" xfId="0" applyNumberFormat="1" applyFont="1" applyFill="1" applyBorder="1" applyAlignment="1">
      <alignment vertical="center"/>
    </xf>
    <xf numFmtId="182" fontId="9" fillId="37" borderId="67" xfId="0" applyNumberFormat="1" applyFont="1" applyFill="1" applyBorder="1" applyAlignment="1">
      <alignment vertical="center"/>
    </xf>
    <xf numFmtId="182" fontId="9" fillId="37" borderId="66" xfId="0" applyNumberFormat="1" applyFont="1" applyFill="1" applyBorder="1" applyAlignment="1">
      <alignment vertical="center"/>
    </xf>
    <xf numFmtId="176" fontId="3" fillId="34" borderId="42" xfId="0" applyNumberFormat="1" applyFont="1" applyFill="1" applyBorder="1" applyAlignment="1" applyProtection="1" quotePrefix="1">
      <alignment horizontal="left" vertical="center"/>
      <protection locked="0"/>
    </xf>
    <xf numFmtId="176" fontId="3" fillId="0" borderId="45" xfId="0" applyNumberFormat="1" applyFont="1" applyBorder="1" applyAlignment="1">
      <alignment vertical="center"/>
    </xf>
    <xf numFmtId="182" fontId="9" fillId="37" borderId="33" xfId="0" applyNumberFormat="1" applyFont="1" applyFill="1" applyBorder="1" applyAlignment="1" applyProtection="1">
      <alignment vertical="center"/>
      <protection/>
    </xf>
    <xf numFmtId="182" fontId="9" fillId="37" borderId="34" xfId="0" applyNumberFormat="1" applyFont="1" applyFill="1" applyBorder="1" applyAlignment="1" applyProtection="1">
      <alignment vertical="center"/>
      <protection/>
    </xf>
    <xf numFmtId="182" fontId="9" fillId="37" borderId="10" xfId="0" applyNumberFormat="1" applyFont="1" applyFill="1" applyBorder="1" applyAlignment="1" applyProtection="1">
      <alignment vertical="center"/>
      <protection/>
    </xf>
    <xf numFmtId="182" fontId="9" fillId="37" borderId="50" xfId="0" applyNumberFormat="1" applyFont="1" applyFill="1" applyBorder="1" applyAlignment="1" applyProtection="1">
      <alignment vertical="center"/>
      <protection/>
    </xf>
    <xf numFmtId="182" fontId="9" fillId="37" borderId="22" xfId="0" applyNumberFormat="1" applyFont="1" applyFill="1" applyBorder="1" applyAlignment="1" applyProtection="1">
      <alignment vertical="center"/>
      <protection/>
    </xf>
    <xf numFmtId="182" fontId="9" fillId="37" borderId="23" xfId="0" applyNumberFormat="1" applyFont="1" applyFill="1" applyBorder="1" applyAlignment="1">
      <alignment vertical="center"/>
    </xf>
    <xf numFmtId="182" fontId="9" fillId="37" borderId="33" xfId="0" applyNumberFormat="1" applyFont="1" applyFill="1" applyBorder="1" applyAlignment="1" applyProtection="1">
      <alignment horizontal="center" vertical="center"/>
      <protection/>
    </xf>
    <xf numFmtId="182" fontId="9" fillId="37" borderId="34" xfId="0" applyNumberFormat="1" applyFont="1" applyFill="1" applyBorder="1" applyAlignment="1" applyProtection="1">
      <alignment horizontal="center" vertical="center"/>
      <protection/>
    </xf>
    <xf numFmtId="0" fontId="4" fillId="34" borderId="33" xfId="0" applyFont="1" applyFill="1" applyBorder="1" applyAlignment="1" applyProtection="1">
      <alignment vertical="center"/>
      <protection locked="0"/>
    </xf>
    <xf numFmtId="0" fontId="3" fillId="34" borderId="22" xfId="0" applyFont="1" applyFill="1" applyBorder="1" applyAlignment="1" applyProtection="1">
      <alignment vertical="center" textRotation="255"/>
      <protection locked="0"/>
    </xf>
    <xf numFmtId="0" fontId="3" fillId="34" borderId="21" xfId="0" applyFont="1" applyFill="1" applyBorder="1" applyAlignment="1" applyProtection="1">
      <alignment vertical="center" textRotation="255"/>
      <protection locked="0"/>
    </xf>
    <xf numFmtId="0" fontId="3" fillId="34" borderId="24" xfId="0" applyFont="1" applyFill="1" applyBorder="1" applyAlignment="1" applyProtection="1">
      <alignment vertical="center" textRotation="255"/>
      <protection locked="0"/>
    </xf>
    <xf numFmtId="0" fontId="4" fillId="34" borderId="44" xfId="0" applyFont="1" applyFill="1" applyBorder="1" applyAlignment="1" applyProtection="1">
      <alignment vertical="center"/>
      <protection locked="0"/>
    </xf>
    <xf numFmtId="176" fontId="3" fillId="34" borderId="43" xfId="0" applyNumberFormat="1" applyFont="1" applyFill="1" applyBorder="1" applyAlignment="1" applyProtection="1">
      <alignment vertical="center"/>
      <protection locked="0"/>
    </xf>
    <xf numFmtId="176" fontId="3" fillId="34" borderId="33" xfId="0" applyNumberFormat="1" applyFont="1" applyFill="1" applyBorder="1" applyAlignment="1" applyProtection="1">
      <alignment vertical="center"/>
      <protection locked="0"/>
    </xf>
    <xf numFmtId="0" fontId="3" fillId="34" borderId="52" xfId="0" applyFont="1" applyFill="1" applyBorder="1" applyAlignment="1">
      <alignment horizontal="right" vertical="center"/>
    </xf>
    <xf numFmtId="0" fontId="3" fillId="34" borderId="10" xfId="0" applyFont="1" applyFill="1" applyBorder="1" applyAlignment="1">
      <alignment horizontal="right" vertical="center"/>
    </xf>
    <xf numFmtId="0" fontId="3" fillId="34" borderId="67" xfId="0" applyFont="1" applyFill="1" applyBorder="1" applyAlignment="1">
      <alignment horizontal="right" vertical="center"/>
    </xf>
    <xf numFmtId="0" fontId="3" fillId="34" borderId="12" xfId="0" applyFont="1" applyFill="1" applyBorder="1" applyAlignment="1">
      <alignment horizontal="right" vertical="center"/>
    </xf>
    <xf numFmtId="0" fontId="4" fillId="34" borderId="45" xfId="0" applyFont="1" applyFill="1" applyBorder="1" applyAlignment="1" applyProtection="1">
      <alignment vertical="center"/>
      <protection locked="0"/>
    </xf>
    <xf numFmtId="0" fontId="3" fillId="34" borderId="11" xfId="0" applyFont="1" applyFill="1" applyBorder="1" applyAlignment="1" applyProtection="1">
      <alignment horizontal="center" vertical="center"/>
      <protection locked="0"/>
    </xf>
    <xf numFmtId="176" fontId="3" fillId="34" borderId="33" xfId="0" applyNumberFormat="1" applyFont="1" applyFill="1" applyBorder="1" applyAlignment="1">
      <alignment vertical="center"/>
    </xf>
    <xf numFmtId="176" fontId="3" fillId="34" borderId="43" xfId="0" applyNumberFormat="1" applyFont="1" applyFill="1" applyBorder="1" applyAlignment="1">
      <alignment vertical="center"/>
    </xf>
    <xf numFmtId="176" fontId="3" fillId="34" borderId="41" xfId="0" applyNumberFormat="1" applyFont="1" applyFill="1" applyBorder="1" applyAlignment="1" applyProtection="1">
      <alignment vertical="center"/>
      <protection locked="0"/>
    </xf>
    <xf numFmtId="176" fontId="3" fillId="34" borderId="44" xfId="0" applyNumberFormat="1" applyFont="1" applyFill="1" applyBorder="1" applyAlignment="1">
      <alignment vertical="center"/>
    </xf>
    <xf numFmtId="0" fontId="3" fillId="34" borderId="11" xfId="0" applyFont="1" applyFill="1" applyBorder="1" applyAlignment="1">
      <alignment vertical="center"/>
    </xf>
    <xf numFmtId="0" fontId="0" fillId="34" borderId="62" xfId="0" applyFill="1" applyBorder="1" applyAlignment="1" applyProtection="1" quotePrefix="1">
      <alignment horizontal="right" vertical="center"/>
      <protection locked="0"/>
    </xf>
    <xf numFmtId="0" fontId="0" fillId="0" borderId="68" xfId="0" applyBorder="1" applyAlignment="1">
      <alignment horizontal="right" vertical="center"/>
    </xf>
    <xf numFmtId="0" fontId="0" fillId="0" borderId="26" xfId="0" applyBorder="1" applyAlignment="1">
      <alignment horizontal="right" vertical="center"/>
    </xf>
    <xf numFmtId="176" fontId="0" fillId="0" borderId="43" xfId="0" applyNumberFormat="1" applyBorder="1" applyAlignment="1">
      <alignment vertical="center"/>
    </xf>
    <xf numFmtId="176" fontId="3" fillId="34" borderId="20" xfId="0" applyNumberFormat="1" applyFont="1" applyFill="1" applyBorder="1" applyAlignment="1" applyProtection="1" quotePrefix="1">
      <alignment horizontal="left" vertical="center"/>
      <protection locked="0"/>
    </xf>
    <xf numFmtId="176" fontId="3" fillId="0" borderId="15" xfId="0" applyNumberFormat="1" applyFont="1" applyBorder="1" applyAlignment="1">
      <alignment vertical="center"/>
    </xf>
    <xf numFmtId="176" fontId="3" fillId="0" borderId="17" xfId="0" applyNumberFormat="1" applyFont="1" applyBorder="1" applyAlignment="1">
      <alignment vertical="center"/>
    </xf>
    <xf numFmtId="176" fontId="3" fillId="34" borderId="27" xfId="0" applyNumberFormat="1" applyFont="1" applyFill="1" applyBorder="1" applyAlignment="1" applyProtection="1" quotePrefix="1">
      <alignment horizontal="left" vertical="center"/>
      <protection locked="0"/>
    </xf>
    <xf numFmtId="176" fontId="3" fillId="0" borderId="27" xfId="0" applyNumberFormat="1" applyFont="1" applyBorder="1" applyAlignment="1">
      <alignment vertical="center"/>
    </xf>
    <xf numFmtId="0" fontId="3" fillId="34" borderId="69" xfId="0" applyFont="1" applyFill="1" applyBorder="1" applyAlignment="1" applyProtection="1">
      <alignment horizontal="center" vertical="center"/>
      <protection locked="0"/>
    </xf>
    <xf numFmtId="0" fontId="3" fillId="34" borderId="70" xfId="0" applyFont="1" applyFill="1" applyBorder="1" applyAlignment="1" applyProtection="1">
      <alignment horizontal="center" vertical="center"/>
      <protection locked="0"/>
    </xf>
    <xf numFmtId="176" fontId="0" fillId="34" borderId="41" xfId="0" applyNumberFormat="1" applyFill="1" applyBorder="1" applyAlignment="1" applyProtection="1" quotePrefix="1">
      <alignment horizontal="left" vertical="center" wrapText="1"/>
      <protection locked="0"/>
    </xf>
    <xf numFmtId="176" fontId="0" fillId="34" borderId="44" xfId="0" applyNumberFormat="1" applyFill="1" applyBorder="1" applyAlignment="1" applyProtection="1">
      <alignment vertical="center" wrapText="1"/>
      <protection locked="0"/>
    </xf>
    <xf numFmtId="176" fontId="0" fillId="34" borderId="71" xfId="0" applyNumberFormat="1" applyFill="1" applyBorder="1" applyAlignment="1" applyProtection="1">
      <alignment vertical="center" wrapText="1"/>
      <protection locked="0"/>
    </xf>
    <xf numFmtId="0" fontId="4" fillId="34" borderId="0" xfId="0" applyFont="1" applyFill="1" applyBorder="1" applyAlignment="1" applyProtection="1">
      <alignment vertical="center"/>
      <protection locked="0"/>
    </xf>
    <xf numFmtId="0" fontId="3" fillId="34" borderId="11" xfId="0" applyFont="1" applyFill="1" applyBorder="1" applyAlignment="1" applyProtection="1">
      <alignment horizontal="left" vertical="center"/>
      <protection locked="0"/>
    </xf>
    <xf numFmtId="0" fontId="3" fillId="34" borderId="72" xfId="0" applyFont="1" applyFill="1" applyBorder="1" applyAlignment="1" applyProtection="1">
      <alignment vertical="center"/>
      <protection locked="0"/>
    </xf>
    <xf numFmtId="0" fontId="3" fillId="34" borderId="43" xfId="0" applyFont="1" applyFill="1" applyBorder="1" applyAlignment="1" applyProtection="1">
      <alignment vertical="center"/>
      <protection locked="0"/>
    </xf>
    <xf numFmtId="0" fontId="3" fillId="34" borderId="33" xfId="0" applyFont="1" applyFill="1" applyBorder="1" applyAlignment="1" applyProtection="1">
      <alignment vertical="center"/>
      <protection locked="0"/>
    </xf>
    <xf numFmtId="0" fontId="3" fillId="0" borderId="28" xfId="0" applyFont="1" applyBorder="1" applyAlignment="1">
      <alignment horizontal="center" vertical="center"/>
    </xf>
    <xf numFmtId="176" fontId="3" fillId="34" borderId="52" xfId="0" applyNumberFormat="1" applyFont="1" applyFill="1" applyBorder="1" applyAlignment="1" applyProtection="1" quotePrefix="1">
      <alignment horizontal="left" vertical="center"/>
      <protection locked="0"/>
    </xf>
    <xf numFmtId="0" fontId="3" fillId="0" borderId="21" xfId="0" applyFont="1" applyBorder="1" applyAlignment="1">
      <alignment vertical="center"/>
    </xf>
    <xf numFmtId="0" fontId="3" fillId="0" borderId="0" xfId="0" applyFont="1" applyBorder="1" applyAlignment="1">
      <alignment vertical="center"/>
    </xf>
    <xf numFmtId="0" fontId="3" fillId="0" borderId="35" xfId="0" applyFont="1" applyBorder="1" applyAlignment="1">
      <alignment horizontal="center" vertical="center"/>
    </xf>
    <xf numFmtId="176" fontId="3" fillId="34" borderId="42" xfId="0" applyNumberFormat="1" applyFont="1" applyFill="1" applyBorder="1" applyAlignment="1">
      <alignment vertical="center"/>
    </xf>
    <xf numFmtId="176" fontId="3" fillId="34" borderId="45" xfId="0" applyNumberFormat="1" applyFont="1" applyFill="1" applyBorder="1" applyAlignment="1">
      <alignment vertical="center"/>
    </xf>
    <xf numFmtId="176" fontId="3" fillId="34" borderId="44" xfId="0" applyNumberFormat="1" applyFont="1" applyFill="1" applyBorder="1" applyAlignment="1" applyProtection="1">
      <alignment vertical="center"/>
      <protection locked="0"/>
    </xf>
    <xf numFmtId="176" fontId="3" fillId="34" borderId="42" xfId="0" applyNumberFormat="1" applyFont="1" applyFill="1" applyBorder="1" applyAlignment="1" applyProtection="1">
      <alignment vertical="center"/>
      <protection locked="0"/>
    </xf>
    <xf numFmtId="176" fontId="3" fillId="34" borderId="45" xfId="0" applyNumberFormat="1" applyFont="1" applyFill="1" applyBorder="1" applyAlignment="1" applyProtection="1">
      <alignment vertical="center"/>
      <protection locked="0"/>
    </xf>
    <xf numFmtId="0" fontId="3" fillId="34" borderId="13" xfId="0" applyFont="1" applyFill="1" applyBorder="1" applyAlignment="1" applyProtection="1" quotePrefix="1">
      <alignment horizontal="center" vertical="center"/>
      <protection locked="0"/>
    </xf>
    <xf numFmtId="0" fontId="10" fillId="36" borderId="14" xfId="0" applyFont="1" applyFill="1" applyBorder="1" applyAlignment="1" applyProtection="1" quotePrefix="1">
      <alignment horizontal="center" vertical="center"/>
      <protection locked="0"/>
    </xf>
    <xf numFmtId="0" fontId="10" fillId="36" borderId="14" xfId="0" applyFont="1" applyFill="1" applyBorder="1" applyAlignment="1" applyProtection="1">
      <alignment horizontal="center" vertical="center"/>
      <protection locked="0"/>
    </xf>
    <xf numFmtId="0" fontId="3" fillId="34" borderId="46" xfId="0" applyFont="1" applyFill="1" applyBorder="1" applyAlignment="1" applyProtection="1">
      <alignment vertical="center"/>
      <protection locked="0"/>
    </xf>
    <xf numFmtId="0" fontId="3" fillId="34" borderId="34" xfId="0" applyFont="1" applyFill="1" applyBorder="1" applyAlignment="1" applyProtection="1">
      <alignment vertical="center"/>
      <protection locked="0"/>
    </xf>
    <xf numFmtId="0" fontId="3" fillId="34" borderId="14" xfId="0" applyFont="1" applyFill="1" applyBorder="1" applyAlignment="1" applyProtection="1" quotePrefix="1">
      <alignment horizontal="center" vertical="center"/>
      <protection locked="0"/>
    </xf>
    <xf numFmtId="0" fontId="3" fillId="33" borderId="14" xfId="0" applyFont="1" applyFill="1" applyBorder="1" applyAlignment="1" applyProtection="1">
      <alignment horizontal="center" vertical="center"/>
      <protection locked="0"/>
    </xf>
    <xf numFmtId="0" fontId="3" fillId="0" borderId="27" xfId="0" applyFont="1" applyBorder="1" applyAlignment="1">
      <alignment vertical="center"/>
    </xf>
    <xf numFmtId="176" fontId="3" fillId="34" borderId="51" xfId="0" applyNumberFormat="1" applyFont="1" applyFill="1" applyBorder="1" applyAlignment="1" applyProtection="1">
      <alignment vertical="center"/>
      <protection locked="0"/>
    </xf>
    <xf numFmtId="178" fontId="9" fillId="37" borderId="13" xfId="0" applyNumberFormat="1" applyFont="1" applyFill="1" applyBorder="1" applyAlignment="1" applyProtection="1">
      <alignment vertical="center"/>
      <protection/>
    </xf>
    <xf numFmtId="0" fontId="3" fillId="34" borderId="32" xfId="0" applyFont="1" applyFill="1" applyBorder="1" applyAlignment="1" applyProtection="1">
      <alignment horizontal="center" vertical="center"/>
      <protection locked="0"/>
    </xf>
    <xf numFmtId="0" fontId="3" fillId="34" borderId="38" xfId="0" applyFont="1" applyFill="1" applyBorder="1" applyAlignment="1" applyProtection="1">
      <alignment horizontal="center" vertical="center"/>
      <protection locked="0"/>
    </xf>
    <xf numFmtId="178" fontId="9" fillId="37" borderId="19" xfId="0" applyNumberFormat="1" applyFont="1" applyFill="1" applyBorder="1" applyAlignment="1" applyProtection="1" quotePrefix="1">
      <alignment vertical="center"/>
      <protection/>
    </xf>
    <xf numFmtId="176" fontId="3" fillId="34" borderId="38" xfId="0" applyNumberFormat="1" applyFont="1" applyFill="1" applyBorder="1" applyAlignment="1" applyProtection="1">
      <alignment vertical="center"/>
      <protection locked="0"/>
    </xf>
    <xf numFmtId="176" fontId="3" fillId="0" borderId="38" xfId="0" applyNumberFormat="1" applyFont="1" applyBorder="1" applyAlignment="1">
      <alignment vertical="center"/>
    </xf>
    <xf numFmtId="0" fontId="3" fillId="34" borderId="41" xfId="0" applyFont="1" applyFill="1" applyBorder="1" applyAlignment="1" applyProtection="1">
      <alignment vertical="center" textRotation="255"/>
      <protection locked="0"/>
    </xf>
    <xf numFmtId="0" fontId="3" fillId="34" borderId="43" xfId="0" applyFont="1" applyFill="1" applyBorder="1" applyAlignment="1">
      <alignment vertical="center" textRotation="255"/>
    </xf>
    <xf numFmtId="0" fontId="3" fillId="34" borderId="52" xfId="0" applyFont="1" applyFill="1" applyBorder="1" applyAlignment="1">
      <alignment vertical="center" textRotation="255"/>
    </xf>
    <xf numFmtId="0" fontId="3" fillId="34" borderId="22" xfId="0" applyFont="1" applyFill="1" applyBorder="1" applyAlignment="1" applyProtection="1" quotePrefix="1">
      <alignment horizontal="center" vertical="center" textRotation="255"/>
      <protection locked="0"/>
    </xf>
    <xf numFmtId="176" fontId="3" fillId="34" borderId="52" xfId="0" applyNumberFormat="1" applyFont="1" applyFill="1" applyBorder="1" applyAlignment="1">
      <alignment vertical="center"/>
    </xf>
    <xf numFmtId="176" fontId="3" fillId="34" borderId="10" xfId="0" applyNumberFormat="1" applyFont="1" applyFill="1" applyBorder="1" applyAlignment="1">
      <alignment vertical="center"/>
    </xf>
    <xf numFmtId="0" fontId="3" fillId="34" borderId="20" xfId="0" applyFont="1" applyFill="1" applyBorder="1" applyAlignment="1" applyProtection="1" quotePrefix="1">
      <alignment horizontal="right" vertical="center"/>
      <protection locked="0"/>
    </xf>
    <xf numFmtId="0" fontId="3" fillId="34" borderId="15" xfId="0" applyFont="1" applyFill="1" applyBorder="1" applyAlignment="1">
      <alignment vertical="center"/>
    </xf>
    <xf numFmtId="176" fontId="3" fillId="34" borderId="73" xfId="0" applyNumberFormat="1" applyFont="1" applyFill="1" applyBorder="1" applyAlignment="1">
      <alignment vertical="center"/>
    </xf>
    <xf numFmtId="0" fontId="3" fillId="0" borderId="23" xfId="0" applyFont="1" applyBorder="1" applyAlignment="1">
      <alignment vertical="center"/>
    </xf>
    <xf numFmtId="0" fontId="3" fillId="0" borderId="54" xfId="0" applyFont="1" applyBorder="1" applyAlignment="1">
      <alignment vertical="center"/>
    </xf>
    <xf numFmtId="176" fontId="3" fillId="34" borderId="53" xfId="0" applyNumberFormat="1" applyFont="1" applyFill="1" applyBorder="1" applyAlignment="1" quotePrefix="1">
      <alignment horizontal="left" vertical="center"/>
    </xf>
    <xf numFmtId="176" fontId="3" fillId="34" borderId="53" xfId="0" applyNumberFormat="1" applyFont="1" applyFill="1" applyBorder="1" applyAlignment="1">
      <alignment vertical="center"/>
    </xf>
    <xf numFmtId="0" fontId="3" fillId="0" borderId="62" xfId="0" applyFont="1" applyBorder="1" applyAlignment="1">
      <alignment vertical="center"/>
    </xf>
    <xf numFmtId="0" fontId="3" fillId="0" borderId="18" xfId="0" applyFont="1" applyBorder="1" applyAlignment="1">
      <alignment vertical="center"/>
    </xf>
    <xf numFmtId="176" fontId="3" fillId="0" borderId="51" xfId="0" applyNumberFormat="1" applyFont="1" applyBorder="1" applyAlignment="1">
      <alignment vertical="center"/>
    </xf>
    <xf numFmtId="176" fontId="3" fillId="34" borderId="22" xfId="0" applyNumberFormat="1" applyFont="1" applyFill="1" applyBorder="1" applyAlignment="1" applyProtection="1" quotePrefix="1">
      <alignment horizontal="left" vertical="center"/>
      <protection locked="0"/>
    </xf>
    <xf numFmtId="176" fontId="3" fillId="0" borderId="11" xfId="0" applyNumberFormat="1" applyFont="1" applyBorder="1" applyAlignment="1">
      <alignment vertical="center"/>
    </xf>
    <xf numFmtId="0" fontId="3" fillId="34" borderId="41" xfId="0" applyFont="1" applyFill="1" applyBorder="1" applyAlignment="1" applyProtection="1" quotePrefix="1">
      <alignment horizontal="right" vertical="center"/>
      <protection locked="0"/>
    </xf>
    <xf numFmtId="0" fontId="3" fillId="34" borderId="43" xfId="0" applyFont="1" applyFill="1" applyBorder="1" applyAlignment="1">
      <alignment vertical="center"/>
    </xf>
    <xf numFmtId="0" fontId="3" fillId="34" borderId="43" xfId="0" applyFont="1" applyFill="1" applyBorder="1" applyAlignment="1" applyProtection="1" quotePrefix="1">
      <alignment horizontal="right" vertical="center"/>
      <protection locked="0"/>
    </xf>
    <xf numFmtId="0" fontId="3" fillId="34" borderId="52" xfId="0" applyFont="1" applyFill="1" applyBorder="1" applyAlignment="1">
      <alignment vertical="center"/>
    </xf>
    <xf numFmtId="0" fontId="3" fillId="34" borderId="24" xfId="0" applyFont="1" applyFill="1" applyBorder="1" applyAlignment="1">
      <alignment vertical="center"/>
    </xf>
    <xf numFmtId="0" fontId="3" fillId="34" borderId="13" xfId="0" applyFont="1" applyFill="1" applyBorder="1" applyAlignment="1">
      <alignment vertical="center"/>
    </xf>
    <xf numFmtId="179" fontId="9" fillId="37" borderId="19" xfId="0" applyNumberFormat="1" applyFont="1" applyFill="1" applyBorder="1" applyAlignment="1" applyProtection="1">
      <alignment vertical="center"/>
      <protection/>
    </xf>
    <xf numFmtId="179" fontId="9" fillId="37" borderId="14" xfId="0" applyNumberFormat="1" applyFont="1" applyFill="1" applyBorder="1" applyAlignment="1" applyProtection="1">
      <alignment vertical="center"/>
      <protection/>
    </xf>
    <xf numFmtId="179" fontId="9" fillId="37" borderId="16" xfId="0" applyNumberFormat="1" applyFont="1" applyFill="1" applyBorder="1" applyAlignment="1" applyProtection="1">
      <alignment vertical="center"/>
      <protection/>
    </xf>
    <xf numFmtId="180" fontId="9" fillId="37" borderId="19" xfId="0" applyNumberFormat="1" applyFont="1" applyFill="1" applyBorder="1" applyAlignment="1" applyProtection="1">
      <alignment vertical="center"/>
      <protection/>
    </xf>
    <xf numFmtId="180" fontId="9" fillId="37" borderId="14" xfId="0" applyNumberFormat="1" applyFont="1" applyFill="1" applyBorder="1" applyAlignment="1" applyProtection="1">
      <alignment vertical="center"/>
      <protection/>
    </xf>
    <xf numFmtId="180" fontId="9" fillId="37" borderId="16" xfId="0" applyNumberFormat="1" applyFont="1" applyFill="1" applyBorder="1" applyAlignment="1" applyProtection="1">
      <alignment vertical="center"/>
      <protection/>
    </xf>
    <xf numFmtId="176" fontId="3" fillId="0" borderId="47" xfId="0" applyNumberFormat="1" applyFont="1" applyBorder="1" applyAlignment="1">
      <alignment vertical="center"/>
    </xf>
    <xf numFmtId="0" fontId="3" fillId="34" borderId="11" xfId="0" applyFont="1" applyFill="1" applyBorder="1" applyAlignment="1" applyProtection="1" quotePrefix="1">
      <alignment horizontal="left" vertical="center"/>
      <protection locked="0"/>
    </xf>
    <xf numFmtId="0" fontId="3" fillId="0" borderId="46" xfId="0" applyFont="1" applyBorder="1" applyAlignment="1">
      <alignment vertical="center"/>
    </xf>
    <xf numFmtId="0" fontId="3" fillId="34" borderId="52" xfId="0" applyFont="1" applyFill="1" applyBorder="1" applyAlignment="1" quotePrefix="1">
      <alignment horizontal="right" vertical="center"/>
    </xf>
    <xf numFmtId="176" fontId="3" fillId="34" borderId="32" xfId="0" applyNumberFormat="1" applyFont="1" applyFill="1" applyBorder="1" applyAlignment="1" applyProtection="1">
      <alignment vertical="center"/>
      <protection locked="0"/>
    </xf>
    <xf numFmtId="176" fontId="3" fillId="0" borderId="32" xfId="0" applyNumberFormat="1" applyFont="1" applyBorder="1" applyAlignment="1">
      <alignment vertical="center"/>
    </xf>
    <xf numFmtId="0" fontId="3" fillId="34" borderId="21" xfId="0" applyFont="1" applyFill="1" applyBorder="1" applyAlignment="1" applyProtection="1">
      <alignment horizontal="center" vertical="center"/>
      <protection locked="0"/>
    </xf>
    <xf numFmtId="0" fontId="3" fillId="0" borderId="0" xfId="0" applyFont="1" applyAlignment="1" applyProtection="1">
      <alignment vertical="center"/>
      <protection locked="0"/>
    </xf>
    <xf numFmtId="178" fontId="9" fillId="37" borderId="51" xfId="0" applyNumberFormat="1" applyFont="1" applyFill="1" applyBorder="1" applyAlignment="1" applyProtection="1">
      <alignment vertical="center"/>
      <protection/>
    </xf>
    <xf numFmtId="176" fontId="3" fillId="0" borderId="23" xfId="0" applyNumberFormat="1" applyFont="1" applyBorder="1" applyAlignment="1">
      <alignment vertical="center"/>
    </xf>
    <xf numFmtId="178" fontId="9" fillId="37" borderId="33" xfId="0" applyNumberFormat="1" applyFont="1" applyFill="1" applyBorder="1" applyAlignment="1" applyProtection="1">
      <alignment vertical="center"/>
      <protection/>
    </xf>
    <xf numFmtId="178" fontId="9" fillId="37" borderId="34" xfId="0" applyNumberFormat="1" applyFont="1" applyFill="1" applyBorder="1" applyAlignment="1" applyProtection="1">
      <alignment vertical="center"/>
      <protection/>
    </xf>
    <xf numFmtId="178" fontId="9" fillId="37" borderId="45" xfId="0" applyNumberFormat="1" applyFont="1" applyFill="1" applyBorder="1" applyAlignment="1" applyProtection="1">
      <alignment vertical="center"/>
      <protection/>
    </xf>
    <xf numFmtId="178" fontId="9" fillId="37" borderId="47" xfId="0" applyNumberFormat="1" applyFont="1" applyFill="1" applyBorder="1" applyAlignment="1" applyProtection="1">
      <alignment vertical="center"/>
      <protection/>
    </xf>
    <xf numFmtId="178" fontId="10" fillId="36" borderId="51" xfId="0" applyNumberFormat="1" applyFont="1" applyFill="1" applyBorder="1" applyAlignment="1" applyProtection="1">
      <alignment vertical="center"/>
      <protection locked="0"/>
    </xf>
    <xf numFmtId="0" fontId="3" fillId="0" borderId="29" xfId="0" applyFont="1" applyBorder="1" applyAlignment="1">
      <alignment vertical="center"/>
    </xf>
    <xf numFmtId="187" fontId="9" fillId="37" borderId="41" xfId="0" applyNumberFormat="1" applyFont="1" applyFill="1" applyBorder="1" applyAlignment="1" applyProtection="1">
      <alignment vertical="center"/>
      <protection/>
    </xf>
    <xf numFmtId="187" fontId="9" fillId="37" borderId="46" xfId="0" applyNumberFormat="1" applyFont="1" applyFill="1" applyBorder="1" applyAlignment="1">
      <alignment vertical="center"/>
    </xf>
    <xf numFmtId="182" fontId="9" fillId="37" borderId="21" xfId="0" applyNumberFormat="1" applyFont="1" applyFill="1" applyBorder="1" applyAlignment="1">
      <alignment vertical="center"/>
    </xf>
    <xf numFmtId="182" fontId="9" fillId="37" borderId="18" xfId="0" applyNumberFormat="1" applyFont="1" applyFill="1" applyBorder="1" applyAlignment="1">
      <alignment vertical="center"/>
    </xf>
    <xf numFmtId="178" fontId="9" fillId="37" borderId="26" xfId="0" applyNumberFormat="1" applyFont="1" applyFill="1" applyBorder="1" applyAlignment="1" applyProtection="1">
      <alignment vertical="center"/>
      <protection/>
    </xf>
    <xf numFmtId="178" fontId="9" fillId="37" borderId="74" xfId="0" applyNumberFormat="1" applyFont="1" applyFill="1" applyBorder="1" applyAlignment="1" applyProtection="1">
      <alignment vertical="center"/>
      <protection/>
    </xf>
    <xf numFmtId="0" fontId="3" fillId="0" borderId="51" xfId="0" applyFont="1" applyBorder="1" applyAlignment="1">
      <alignment vertical="center"/>
    </xf>
    <xf numFmtId="186" fontId="3" fillId="34" borderId="19" xfId="0" applyNumberFormat="1" applyFont="1" applyFill="1" applyBorder="1" applyAlignment="1" applyProtection="1">
      <alignment horizontal="center" vertical="center"/>
      <protection locked="0"/>
    </xf>
    <xf numFmtId="186" fontId="3" fillId="34" borderId="14" xfId="0" applyNumberFormat="1" applyFont="1" applyFill="1" applyBorder="1" applyAlignment="1" applyProtection="1">
      <alignment horizontal="center" vertical="center"/>
      <protection locked="0"/>
    </xf>
    <xf numFmtId="186" fontId="3" fillId="34" borderId="16" xfId="0" applyNumberFormat="1" applyFont="1" applyFill="1" applyBorder="1" applyAlignment="1" applyProtection="1">
      <alignment horizontal="center" vertical="center"/>
      <protection locked="0"/>
    </xf>
    <xf numFmtId="183" fontId="3" fillId="34" borderId="75" xfId="0" applyNumberFormat="1" applyFont="1" applyFill="1" applyBorder="1" applyAlignment="1" applyProtection="1">
      <alignment horizontal="center" vertical="center"/>
      <protection locked="0"/>
    </xf>
    <xf numFmtId="183" fontId="3" fillId="34" borderId="76" xfId="0" applyNumberFormat="1" applyFont="1" applyFill="1" applyBorder="1" applyAlignment="1" applyProtection="1">
      <alignment horizontal="center" vertical="center"/>
      <protection locked="0"/>
    </xf>
    <xf numFmtId="183" fontId="3" fillId="34" borderId="53" xfId="0" applyNumberFormat="1" applyFont="1" applyFill="1" applyBorder="1" applyAlignment="1" applyProtection="1">
      <alignment horizontal="center" vertical="center"/>
      <protection locked="0"/>
    </xf>
    <xf numFmtId="183" fontId="3" fillId="34" borderId="54" xfId="0" applyNumberFormat="1" applyFont="1" applyFill="1" applyBorder="1" applyAlignment="1" applyProtection="1">
      <alignment horizontal="center" vertical="center"/>
      <protection locked="0"/>
    </xf>
    <xf numFmtId="180" fontId="3" fillId="34" borderId="48" xfId="0" applyNumberFormat="1" applyFont="1" applyFill="1" applyBorder="1" applyAlignment="1" applyProtection="1">
      <alignment vertical="center"/>
      <protection locked="0"/>
    </xf>
    <xf numFmtId="180" fontId="3" fillId="34" borderId="77" xfId="0" applyNumberFormat="1" applyFont="1" applyFill="1" applyBorder="1" applyAlignment="1" applyProtection="1">
      <alignment vertical="center"/>
      <protection locked="0"/>
    </xf>
    <xf numFmtId="178" fontId="9" fillId="37" borderId="78" xfId="0" applyNumberFormat="1" applyFont="1" applyFill="1" applyBorder="1" applyAlignment="1" applyProtection="1">
      <alignment vertical="center"/>
      <protection/>
    </xf>
    <xf numFmtId="178" fontId="9" fillId="37" borderId="79" xfId="0" applyNumberFormat="1" applyFont="1" applyFill="1" applyBorder="1" applyAlignment="1" applyProtection="1">
      <alignment vertical="center"/>
      <protection/>
    </xf>
    <xf numFmtId="186" fontId="3" fillId="34" borderId="29" xfId="0" applyNumberFormat="1" applyFont="1" applyFill="1" applyBorder="1" applyAlignment="1" applyProtection="1">
      <alignment horizontal="center" vertical="center"/>
      <protection locked="0"/>
    </xf>
    <xf numFmtId="0" fontId="4" fillId="34" borderId="26" xfId="0" applyFont="1" applyFill="1" applyBorder="1" applyAlignment="1" applyProtection="1">
      <alignment vertical="center"/>
      <protection locked="0"/>
    </xf>
    <xf numFmtId="0" fontId="3" fillId="34" borderId="0" xfId="0" applyFont="1" applyFill="1" applyBorder="1" applyAlignment="1" applyProtection="1" quotePrefix="1">
      <alignment horizontal="left" vertical="center"/>
      <protection locked="0"/>
    </xf>
    <xf numFmtId="0" fontId="3" fillId="0" borderId="80" xfId="0" applyFont="1" applyBorder="1" applyAlignment="1">
      <alignment vertical="center"/>
    </xf>
    <xf numFmtId="0" fontId="3" fillId="34" borderId="26" xfId="0" applyFont="1" applyFill="1" applyBorder="1" applyAlignment="1" applyProtection="1">
      <alignment vertical="center"/>
      <protection locked="0"/>
    </xf>
    <xf numFmtId="0" fontId="3" fillId="0" borderId="81" xfId="0" applyFont="1" applyBorder="1" applyAlignment="1">
      <alignment vertical="center"/>
    </xf>
    <xf numFmtId="0" fontId="3" fillId="34" borderId="60" xfId="0" applyFont="1" applyFill="1" applyBorder="1" applyAlignment="1" applyProtection="1">
      <alignment horizontal="center" vertical="center"/>
      <protection locked="0"/>
    </xf>
    <xf numFmtId="0" fontId="0" fillId="0" borderId="60" xfId="0" applyBorder="1" applyAlignment="1">
      <alignment horizontal="center" vertical="center"/>
    </xf>
    <xf numFmtId="183" fontId="3" fillId="34" borderId="48" xfId="0" applyNumberFormat="1" applyFont="1" applyFill="1" applyBorder="1" applyAlignment="1" applyProtection="1">
      <alignment vertical="center"/>
      <protection locked="0"/>
    </xf>
    <xf numFmtId="183" fontId="3" fillId="34" borderId="82" xfId="0" applyNumberFormat="1" applyFont="1" applyFill="1" applyBorder="1" applyAlignment="1" applyProtection="1">
      <alignment vertical="center"/>
      <protection locked="0"/>
    </xf>
    <xf numFmtId="183" fontId="3" fillId="34" borderId="83" xfId="0" applyNumberFormat="1" applyFont="1" applyFill="1" applyBorder="1" applyAlignment="1" applyProtection="1">
      <alignment vertical="center"/>
      <protection locked="0"/>
    </xf>
    <xf numFmtId="0" fontId="3" fillId="34" borderId="29" xfId="0" applyFont="1" applyFill="1" applyBorder="1" applyAlignment="1" applyProtection="1" quotePrefix="1">
      <alignment horizontal="center" vertical="center"/>
      <protection locked="0"/>
    </xf>
    <xf numFmtId="0" fontId="3" fillId="0" borderId="29" xfId="0" applyFont="1" applyBorder="1" applyAlignment="1">
      <alignment horizontal="center" vertical="center"/>
    </xf>
    <xf numFmtId="182" fontId="9" fillId="37" borderId="53" xfId="0" applyNumberFormat="1" applyFont="1" applyFill="1" applyBorder="1" applyAlignment="1" applyProtection="1">
      <alignment vertical="center"/>
      <protection/>
    </xf>
    <xf numFmtId="182" fontId="9" fillId="37" borderId="68" xfId="0" applyNumberFormat="1" applyFont="1" applyFill="1" applyBorder="1" applyAlignment="1">
      <alignment vertical="center"/>
    </xf>
    <xf numFmtId="182" fontId="9" fillId="37" borderId="74" xfId="0" applyNumberFormat="1" applyFont="1" applyFill="1" applyBorder="1" applyAlignment="1">
      <alignment vertical="center"/>
    </xf>
    <xf numFmtId="0" fontId="3" fillId="34" borderId="75" xfId="0" applyFont="1" applyFill="1" applyBorder="1" applyAlignment="1" applyProtection="1">
      <alignment horizontal="center" vertical="center"/>
      <protection locked="0"/>
    </xf>
    <xf numFmtId="0" fontId="3" fillId="0" borderId="76" xfId="0" applyFont="1" applyBorder="1" applyAlignment="1">
      <alignment horizontal="center" vertical="center"/>
    </xf>
    <xf numFmtId="0" fontId="3" fillId="34" borderId="82" xfId="0" applyFont="1" applyFill="1" applyBorder="1" applyAlignment="1" applyProtection="1" quotePrefix="1">
      <alignment horizontal="center" vertical="center"/>
      <protection locked="0"/>
    </xf>
    <xf numFmtId="0" fontId="3" fillId="0" borderId="33" xfId="0" applyFont="1" applyBorder="1" applyAlignment="1">
      <alignment horizontal="center" vertical="center"/>
    </xf>
    <xf numFmtId="0" fontId="3" fillId="0" borderId="55" xfId="0" applyFont="1" applyBorder="1" applyAlignment="1">
      <alignment horizontal="center" vertical="center"/>
    </xf>
    <xf numFmtId="0" fontId="3" fillId="34" borderId="0" xfId="0" applyFont="1" applyFill="1" applyBorder="1" applyAlignment="1" applyProtection="1">
      <alignment vertical="center"/>
      <protection locked="0"/>
    </xf>
    <xf numFmtId="0" fontId="0" fillId="34" borderId="84" xfId="0" applyFill="1" applyBorder="1" applyAlignment="1" applyProtection="1">
      <alignment horizontal="center" vertical="center"/>
      <protection locked="0"/>
    </xf>
    <xf numFmtId="0" fontId="0" fillId="34" borderId="32" xfId="0" applyFill="1" applyBorder="1" applyAlignment="1" applyProtection="1">
      <alignment horizontal="center" vertical="center"/>
      <protection locked="0"/>
    </xf>
    <xf numFmtId="0" fontId="0" fillId="34" borderId="85" xfId="0" applyFill="1" applyBorder="1" applyAlignment="1" applyProtection="1">
      <alignment horizontal="center" vertical="center"/>
      <protection locked="0"/>
    </xf>
    <xf numFmtId="0" fontId="0" fillId="34" borderId="76" xfId="0" applyFill="1" applyBorder="1" applyAlignment="1" applyProtection="1">
      <alignment horizontal="center" vertical="center"/>
      <protection locked="0"/>
    </xf>
    <xf numFmtId="0" fontId="0" fillId="34" borderId="86" xfId="0" applyFill="1" applyBorder="1" applyAlignment="1" applyProtection="1">
      <alignment horizontal="center" vertical="center"/>
      <protection locked="0"/>
    </xf>
    <xf numFmtId="0" fontId="0" fillId="34" borderId="48" xfId="0" applyFill="1" applyBorder="1" applyAlignment="1" applyProtection="1">
      <alignment horizontal="center" vertical="center"/>
      <protection locked="0"/>
    </xf>
    <xf numFmtId="0" fontId="0" fillId="34" borderId="87" xfId="0" applyFill="1" applyBorder="1" applyAlignment="1" applyProtection="1">
      <alignment horizontal="center" vertical="center"/>
      <protection locked="0"/>
    </xf>
    <xf numFmtId="0" fontId="0" fillId="34" borderId="38" xfId="0" applyFill="1" applyBorder="1" applyAlignment="1" applyProtection="1">
      <alignment horizontal="center" vertical="center"/>
      <protection locked="0"/>
    </xf>
    <xf numFmtId="0" fontId="3" fillId="34" borderId="11" xfId="0" applyFont="1" applyFill="1" applyBorder="1" applyAlignment="1" applyProtection="1" quotePrefix="1">
      <alignment horizontal="center" vertical="center"/>
      <protection locked="0"/>
    </xf>
    <xf numFmtId="0" fontId="3" fillId="33" borderId="11" xfId="0" applyFont="1" applyFill="1" applyBorder="1" applyAlignment="1" applyProtection="1">
      <alignment horizontal="center" vertical="center"/>
      <protection locked="0"/>
    </xf>
    <xf numFmtId="0" fontId="3" fillId="33" borderId="13" xfId="0" applyFont="1" applyFill="1" applyBorder="1" applyAlignment="1" applyProtection="1">
      <alignment horizontal="center" vertical="center"/>
      <protection locked="0"/>
    </xf>
    <xf numFmtId="0" fontId="3" fillId="34" borderId="15" xfId="0" applyFont="1" applyFill="1" applyBorder="1" applyAlignment="1" applyProtection="1" quotePrefix="1">
      <alignment horizontal="center" vertical="center"/>
      <protection locked="0"/>
    </xf>
    <xf numFmtId="0" fontId="3" fillId="33" borderId="15" xfId="0" applyFont="1" applyFill="1" applyBorder="1" applyAlignment="1" applyProtection="1">
      <alignment horizontal="center" vertical="center"/>
      <protection locked="0"/>
    </xf>
    <xf numFmtId="0" fontId="3" fillId="34" borderId="40" xfId="0" applyFont="1" applyFill="1" applyBorder="1" applyAlignment="1" applyProtection="1">
      <alignment horizontal="center" vertical="center"/>
      <protection locked="0"/>
    </xf>
    <xf numFmtId="0" fontId="3" fillId="34" borderId="44" xfId="0" applyFont="1" applyFill="1" applyBorder="1" applyAlignment="1" applyProtection="1">
      <alignment horizontal="center" vertical="center"/>
      <protection locked="0"/>
    </xf>
    <xf numFmtId="0" fontId="0" fillId="34" borderId="32" xfId="0" applyFill="1" applyBorder="1" applyAlignment="1" applyProtection="1" quotePrefix="1">
      <alignment horizontal="center" vertical="center"/>
      <protection locked="0"/>
    </xf>
    <xf numFmtId="0" fontId="0" fillId="34" borderId="32" xfId="0" applyFill="1" applyBorder="1" applyAlignment="1">
      <alignment horizontal="center" vertical="center"/>
    </xf>
    <xf numFmtId="0" fontId="0" fillId="34" borderId="76" xfId="0" applyFill="1" applyBorder="1" applyAlignment="1" applyProtection="1" quotePrefix="1">
      <alignment horizontal="center" vertical="center"/>
      <protection locked="0"/>
    </xf>
    <xf numFmtId="0" fontId="0" fillId="34" borderId="76" xfId="0" applyFill="1" applyBorder="1" applyAlignment="1">
      <alignment horizontal="center" vertical="center"/>
    </xf>
    <xf numFmtId="0" fontId="0" fillId="34" borderId="48" xfId="0" applyFill="1" applyBorder="1" applyAlignment="1">
      <alignment horizontal="center" vertical="center"/>
    </xf>
    <xf numFmtId="0" fontId="0" fillId="34" borderId="38" xfId="0" applyFill="1" applyBorder="1" applyAlignment="1">
      <alignment horizontal="center" vertical="center"/>
    </xf>
    <xf numFmtId="0" fontId="3" fillId="34" borderId="48" xfId="0" applyFont="1" applyFill="1" applyBorder="1" applyAlignment="1" applyProtection="1">
      <alignment horizontal="center" vertical="center"/>
      <protection locked="0"/>
    </xf>
    <xf numFmtId="176" fontId="3" fillId="34" borderId="43" xfId="0" applyNumberFormat="1" applyFont="1" applyFill="1" applyBorder="1" applyAlignment="1" applyProtection="1" quotePrefix="1">
      <alignment horizontal="left" vertical="center"/>
      <protection locked="0"/>
    </xf>
    <xf numFmtId="176" fontId="3" fillId="0" borderId="33" xfId="0" applyNumberFormat="1" applyFont="1" applyBorder="1" applyAlignment="1">
      <alignment vertical="center"/>
    </xf>
    <xf numFmtId="176" fontId="3" fillId="0" borderId="34" xfId="0" applyNumberFormat="1" applyFont="1" applyBorder="1" applyAlignment="1">
      <alignment vertical="center"/>
    </xf>
    <xf numFmtId="0" fontId="3" fillId="0" borderId="28" xfId="0" applyFont="1" applyBorder="1" applyAlignment="1">
      <alignment vertical="center"/>
    </xf>
    <xf numFmtId="182" fontId="9" fillId="37" borderId="54" xfId="0" applyNumberFormat="1" applyFont="1" applyFill="1" applyBorder="1" applyAlignment="1">
      <alignment vertical="center"/>
    </xf>
    <xf numFmtId="183" fontId="3" fillId="34" borderId="63" xfId="0" applyNumberFormat="1" applyFont="1" applyFill="1" applyBorder="1" applyAlignment="1" applyProtection="1">
      <alignment horizontal="center" vertical="center"/>
      <protection locked="0"/>
    </xf>
    <xf numFmtId="183" fontId="3" fillId="34" borderId="64" xfId="0" applyNumberFormat="1" applyFont="1" applyFill="1" applyBorder="1" applyAlignment="1" applyProtection="1">
      <alignment horizontal="center" vertical="center"/>
      <protection locked="0"/>
    </xf>
    <xf numFmtId="183" fontId="3" fillId="34" borderId="32" xfId="0" applyNumberFormat="1" applyFont="1" applyFill="1" applyBorder="1" applyAlignment="1" applyProtection="1">
      <alignment vertical="center"/>
      <protection locked="0"/>
    </xf>
    <xf numFmtId="0" fontId="3" fillId="34" borderId="0" xfId="0" applyFont="1" applyFill="1" applyAlignment="1" applyProtection="1">
      <alignment horizontal="center" vertical="center"/>
      <protection locked="0"/>
    </xf>
    <xf numFmtId="0" fontId="3" fillId="34" borderId="18" xfId="0" applyFont="1" applyFill="1" applyBorder="1" applyAlignment="1" applyProtection="1">
      <alignment horizontal="center" vertical="center"/>
      <protection locked="0"/>
    </xf>
    <xf numFmtId="0" fontId="3" fillId="34" borderId="21" xfId="0" applyFont="1" applyFill="1" applyBorder="1" applyAlignment="1" applyProtection="1" quotePrefix="1">
      <alignment horizontal="center" vertical="center"/>
      <protection locked="0"/>
    </xf>
    <xf numFmtId="0" fontId="3" fillId="0" borderId="0" xfId="0" applyFont="1" applyAlignment="1">
      <alignment horizontal="center" vertical="center"/>
    </xf>
    <xf numFmtId="0" fontId="0" fillId="34" borderId="30" xfId="0" applyFill="1" applyBorder="1" applyAlignment="1" applyProtection="1">
      <alignment horizontal="center" vertical="center"/>
      <protection locked="0"/>
    </xf>
    <xf numFmtId="0" fontId="0" fillId="34" borderId="88" xfId="0" applyFill="1" applyBorder="1" applyAlignment="1" applyProtection="1">
      <alignment horizontal="center" vertical="center"/>
      <protection locked="0"/>
    </xf>
    <xf numFmtId="0" fontId="0" fillId="34" borderId="89" xfId="0" applyFill="1" applyBorder="1" applyAlignment="1" applyProtection="1">
      <alignment horizontal="center" vertical="center"/>
      <protection locked="0"/>
    </xf>
    <xf numFmtId="0" fontId="0" fillId="34" borderId="31" xfId="0" applyFill="1" applyBorder="1" applyAlignment="1" applyProtection="1">
      <alignment horizontal="center" vertical="center"/>
      <protection locked="0"/>
    </xf>
    <xf numFmtId="183" fontId="3" fillId="34" borderId="77" xfId="0" applyNumberFormat="1" applyFont="1" applyFill="1" applyBorder="1" applyAlignment="1" applyProtection="1">
      <alignment vertical="center"/>
      <protection locked="0"/>
    </xf>
    <xf numFmtId="0" fontId="0" fillId="34" borderId="21" xfId="0" applyFill="1" applyBorder="1" applyAlignment="1" applyProtection="1" quotePrefix="1">
      <alignment horizontal="left" vertical="center"/>
      <protection locked="0"/>
    </xf>
    <xf numFmtId="0" fontId="0" fillId="34" borderId="0" xfId="0" applyFill="1" applyAlignment="1" applyProtection="1">
      <alignment vertical="center"/>
      <protection locked="0"/>
    </xf>
    <xf numFmtId="182" fontId="9" fillId="37" borderId="40" xfId="0" applyNumberFormat="1" applyFont="1" applyFill="1" applyBorder="1" applyAlignment="1" applyProtection="1">
      <alignment vertical="center"/>
      <protection/>
    </xf>
    <xf numFmtId="182" fontId="9" fillId="37" borderId="46" xfId="0" applyNumberFormat="1" applyFont="1" applyFill="1" applyBorder="1" applyAlignment="1">
      <alignment vertical="center"/>
    </xf>
    <xf numFmtId="179" fontId="9" fillId="37" borderId="19" xfId="0" applyNumberFormat="1" applyFont="1" applyFill="1" applyBorder="1" applyAlignment="1" applyProtection="1" quotePrefix="1">
      <alignment vertical="center"/>
      <protection/>
    </xf>
    <xf numFmtId="0" fontId="9" fillId="37" borderId="39" xfId="0" applyFont="1" applyFill="1" applyBorder="1" applyAlignment="1" applyProtection="1">
      <alignment horizontal="center" vertical="center"/>
      <protection/>
    </xf>
    <xf numFmtId="0" fontId="9" fillId="37" borderId="90" xfId="0" applyFont="1" applyFill="1" applyBorder="1" applyAlignment="1" applyProtection="1">
      <alignment horizontal="center" vertical="center"/>
      <protection/>
    </xf>
    <xf numFmtId="0" fontId="4" fillId="34" borderId="0" xfId="0" applyFont="1" applyFill="1" applyAlignment="1" applyProtection="1" quotePrefix="1">
      <alignment horizontal="center" vertical="center"/>
      <protection locked="0"/>
    </xf>
    <xf numFmtId="0" fontId="4" fillId="34" borderId="0" xfId="0" applyFont="1" applyFill="1" applyAlignment="1" applyProtection="1">
      <alignment horizontal="center" vertical="center"/>
      <protection locked="0"/>
    </xf>
    <xf numFmtId="0" fontId="3" fillId="34" borderId="49" xfId="0" applyFont="1" applyFill="1" applyBorder="1" applyAlignment="1" applyProtection="1">
      <alignment horizontal="center" vertical="center"/>
      <protection locked="0"/>
    </xf>
    <xf numFmtId="0" fontId="0" fillId="0" borderId="14" xfId="0" applyBorder="1" applyAlignment="1">
      <alignment vertical="center"/>
    </xf>
    <xf numFmtId="0" fontId="0" fillId="0" borderId="16" xfId="0" applyBorder="1" applyAlignment="1">
      <alignment vertical="center"/>
    </xf>
    <xf numFmtId="0" fontId="3" fillId="34" borderId="35" xfId="0" applyFont="1" applyFill="1" applyBorder="1" applyAlignment="1" applyProtection="1" quotePrefix="1">
      <alignment horizontal="center" vertical="center"/>
      <protection locked="0"/>
    </xf>
    <xf numFmtId="0" fontId="0" fillId="0" borderId="65" xfId="0" applyBorder="1" applyAlignment="1">
      <alignment horizontal="center" vertical="center"/>
    </xf>
    <xf numFmtId="0" fontId="9" fillId="34" borderId="19" xfId="0" applyFont="1" applyFill="1" applyBorder="1" applyAlignment="1" applyProtection="1">
      <alignment horizontal="center" vertical="center"/>
      <protection locked="0"/>
    </xf>
    <xf numFmtId="0" fontId="9" fillId="34" borderId="14" xfId="0" applyFont="1" applyFill="1" applyBorder="1" applyAlignment="1" applyProtection="1">
      <alignment horizontal="center" vertical="center"/>
      <protection locked="0"/>
    </xf>
    <xf numFmtId="0" fontId="9" fillId="34" borderId="16" xfId="0" applyFont="1" applyFill="1" applyBorder="1" applyAlignment="1" applyProtection="1">
      <alignment horizontal="center" vertical="center"/>
      <protection locked="0"/>
    </xf>
    <xf numFmtId="0" fontId="0" fillId="34" borderId="0" xfId="0" applyFill="1" applyAlignment="1" applyProtection="1" quotePrefix="1">
      <alignment horizontal="right" vertical="center"/>
      <protection locked="0"/>
    </xf>
    <xf numFmtId="0" fontId="0" fillId="34" borderId="18" xfId="0" applyFill="1" applyBorder="1" applyAlignment="1" applyProtection="1">
      <alignment horizontal="right" vertical="center"/>
      <protection locked="0"/>
    </xf>
    <xf numFmtId="0" fontId="9" fillId="35" borderId="19" xfId="0" applyFont="1" applyFill="1" applyBorder="1" applyAlignment="1" applyProtection="1">
      <alignment horizontal="center" vertical="center"/>
      <protection locked="0"/>
    </xf>
    <xf numFmtId="0" fontId="9" fillId="35" borderId="14" xfId="0" applyFont="1" applyFill="1" applyBorder="1" applyAlignment="1" applyProtection="1">
      <alignment horizontal="center" vertical="center"/>
      <protection locked="0"/>
    </xf>
    <xf numFmtId="0" fontId="9" fillId="35" borderId="16" xfId="0" applyFont="1" applyFill="1" applyBorder="1" applyAlignment="1" applyProtection="1">
      <alignment horizontal="center" vertical="center"/>
      <protection locked="0"/>
    </xf>
    <xf numFmtId="0" fontId="0" fillId="33" borderId="35" xfId="0" applyFill="1" applyBorder="1" applyAlignment="1" applyProtection="1">
      <alignment vertical="center"/>
      <protection locked="0"/>
    </xf>
    <xf numFmtId="0" fontId="0" fillId="33" borderId="37" xfId="0" applyFill="1" applyBorder="1" applyAlignment="1" applyProtection="1">
      <alignment vertical="center"/>
      <protection locked="0"/>
    </xf>
    <xf numFmtId="0" fontId="0" fillId="0" borderId="37" xfId="0" applyBorder="1" applyAlignment="1">
      <alignment vertical="center"/>
    </xf>
    <xf numFmtId="0" fontId="3" fillId="0" borderId="24" xfId="0" applyFont="1" applyBorder="1" applyAlignment="1">
      <alignment vertical="center"/>
    </xf>
    <xf numFmtId="0" fontId="3" fillId="0" borderId="25" xfId="0" applyFont="1" applyBorder="1" applyAlignment="1">
      <alignment vertical="center"/>
    </xf>
    <xf numFmtId="0" fontId="0" fillId="34" borderId="19" xfId="0" applyNumberFormat="1" applyFont="1" applyFill="1" applyBorder="1" applyAlignment="1" applyProtection="1" quotePrefix="1">
      <alignment horizontal="center" vertical="center"/>
      <protection locked="0"/>
    </xf>
    <xf numFmtId="0" fontId="0" fillId="34" borderId="14" xfId="0" applyNumberFormat="1" applyFont="1" applyFill="1" applyBorder="1" applyAlignment="1" applyProtection="1" quotePrefix="1">
      <alignment horizontal="center" vertical="center"/>
      <protection locked="0"/>
    </xf>
    <xf numFmtId="0" fontId="0" fillId="34" borderId="16" xfId="0" applyNumberFormat="1" applyFont="1" applyFill="1" applyBorder="1" applyAlignment="1" applyProtection="1" quotePrefix="1">
      <alignment horizontal="center" vertical="center"/>
      <protection locked="0"/>
    </xf>
    <xf numFmtId="0" fontId="0" fillId="34" borderId="19" xfId="0" applyNumberFormat="1" applyFill="1" applyBorder="1" applyAlignment="1" applyProtection="1" quotePrefix="1">
      <alignment horizontal="center" vertical="center"/>
      <protection locked="0"/>
    </xf>
    <xf numFmtId="0" fontId="0" fillId="34" borderId="14" xfId="0" applyNumberFormat="1" applyFont="1" applyFill="1" applyBorder="1" applyAlignment="1" applyProtection="1">
      <alignment horizontal="center" vertical="center"/>
      <protection locked="0"/>
    </xf>
    <xf numFmtId="0" fontId="0" fillId="34" borderId="16" xfId="0" applyNumberFormat="1" applyFont="1" applyFill="1" applyBorder="1" applyAlignment="1" applyProtection="1">
      <alignment horizontal="center" vertical="center"/>
      <protection locked="0"/>
    </xf>
    <xf numFmtId="0" fontId="0" fillId="34" borderId="14" xfId="0" applyFill="1" applyBorder="1" applyAlignment="1" applyProtection="1">
      <alignment vertical="center"/>
      <protection locked="0"/>
    </xf>
    <xf numFmtId="0" fontId="0" fillId="34" borderId="16" xfId="0" applyFill="1" applyBorder="1" applyAlignment="1" applyProtection="1">
      <alignment vertical="center"/>
      <protection locked="0"/>
    </xf>
    <xf numFmtId="0" fontId="9" fillId="37" borderId="14" xfId="0" applyFont="1" applyFill="1" applyBorder="1" applyAlignment="1" applyProtection="1">
      <alignment vertical="center"/>
      <protection/>
    </xf>
    <xf numFmtId="0" fontId="9" fillId="37" borderId="16" xfId="0" applyFont="1" applyFill="1" applyBorder="1" applyAlignment="1" applyProtection="1">
      <alignment vertical="center"/>
      <protection/>
    </xf>
    <xf numFmtId="0" fontId="3" fillId="34" borderId="13" xfId="0" applyFont="1" applyFill="1" applyBorder="1" applyAlignment="1" applyProtection="1">
      <alignment horizontal="center" vertical="center"/>
      <protection locked="0"/>
    </xf>
    <xf numFmtId="0" fontId="3" fillId="0" borderId="13" xfId="0" applyFont="1" applyBorder="1" applyAlignment="1" applyProtection="1">
      <alignment vertical="center"/>
      <protection locked="0"/>
    </xf>
    <xf numFmtId="183" fontId="9" fillId="37" borderId="19" xfId="0" applyNumberFormat="1" applyFont="1" applyFill="1" applyBorder="1" applyAlignment="1" applyProtection="1">
      <alignment vertical="center"/>
      <protection/>
    </xf>
    <xf numFmtId="183" fontId="9" fillId="37" borderId="16" xfId="0" applyNumberFormat="1" applyFont="1" applyFill="1" applyBorder="1" applyAlignment="1" applyProtection="1">
      <alignment vertical="center"/>
      <protection/>
    </xf>
    <xf numFmtId="178" fontId="10" fillId="36" borderId="28" xfId="0" applyNumberFormat="1" applyFont="1" applyFill="1" applyBorder="1" applyAlignment="1" applyProtection="1">
      <alignment vertical="center"/>
      <protection locked="0"/>
    </xf>
    <xf numFmtId="178" fontId="10" fillId="34" borderId="51" xfId="0" applyNumberFormat="1" applyFont="1" applyFill="1" applyBorder="1" applyAlignment="1" applyProtection="1">
      <alignment vertical="center"/>
      <protection locked="0"/>
    </xf>
    <xf numFmtId="176" fontId="3" fillId="34" borderId="22" xfId="0" applyNumberFormat="1" applyFont="1" applyFill="1" applyBorder="1" applyAlignment="1" applyProtection="1">
      <alignment vertical="center"/>
      <protection locked="0"/>
    </xf>
    <xf numFmtId="0" fontId="0" fillId="0" borderId="11" xfId="0" applyBorder="1" applyAlignment="1">
      <alignment vertical="center"/>
    </xf>
    <xf numFmtId="0" fontId="0" fillId="0" borderId="23" xfId="0" applyBorder="1" applyAlignment="1">
      <alignment vertical="center"/>
    </xf>
    <xf numFmtId="178" fontId="9" fillId="37" borderId="42" xfId="0" applyNumberFormat="1" applyFont="1" applyFill="1" applyBorder="1" applyAlignment="1" applyProtection="1">
      <alignment vertical="center"/>
      <protection/>
    </xf>
    <xf numFmtId="0" fontId="3" fillId="34" borderId="0" xfId="0" applyFont="1" applyFill="1" applyAlignment="1" applyProtection="1">
      <alignment vertical="center"/>
      <protection locked="0"/>
    </xf>
    <xf numFmtId="176" fontId="3" fillId="37" borderId="91" xfId="0" applyNumberFormat="1" applyFont="1" applyFill="1" applyBorder="1" applyAlignment="1" applyProtection="1">
      <alignment vertical="center"/>
      <protection locked="0"/>
    </xf>
    <xf numFmtId="176" fontId="3" fillId="37" borderId="26" xfId="0" applyNumberFormat="1" applyFont="1" applyFill="1" applyBorder="1" applyAlignment="1">
      <alignment vertical="center"/>
    </xf>
    <xf numFmtId="176" fontId="3" fillId="34" borderId="11" xfId="0" applyNumberFormat="1" applyFont="1" applyFill="1" applyBorder="1" applyAlignment="1" applyProtection="1">
      <alignment vertical="center"/>
      <protection locked="0"/>
    </xf>
    <xf numFmtId="176" fontId="3" fillId="34" borderId="91" xfId="0" applyNumberFormat="1" applyFont="1" applyFill="1" applyBorder="1" applyAlignment="1" applyProtection="1" quotePrefix="1">
      <alignment horizontal="left" vertical="center"/>
      <protection locked="0"/>
    </xf>
    <xf numFmtId="176" fontId="3" fillId="0" borderId="26" xfId="0" applyNumberFormat="1" applyFont="1" applyBorder="1" applyAlignment="1">
      <alignment vertical="center"/>
    </xf>
    <xf numFmtId="176" fontId="3" fillId="0" borderId="74" xfId="0" applyNumberFormat="1" applyFont="1" applyBorder="1" applyAlignment="1">
      <alignment vertical="center"/>
    </xf>
    <xf numFmtId="0" fontId="15" fillId="34" borderId="35" xfId="0" applyFont="1" applyFill="1" applyBorder="1" applyAlignment="1" applyProtection="1" quotePrefix="1">
      <alignment horizontal="center" vertical="center" textRotation="255" wrapText="1"/>
      <protection locked="0"/>
    </xf>
    <xf numFmtId="0" fontId="15" fillId="34" borderId="36" xfId="0" applyFont="1" applyFill="1" applyBorder="1" applyAlignment="1" applyProtection="1">
      <alignment vertical="center" textRotation="255" wrapText="1"/>
      <protection locked="0"/>
    </xf>
    <xf numFmtId="176" fontId="3" fillId="34" borderId="73" xfId="0" applyNumberFormat="1" applyFont="1" applyFill="1" applyBorder="1" applyAlignment="1" quotePrefix="1">
      <alignment horizontal="left" vertical="center"/>
    </xf>
    <xf numFmtId="0" fontId="3" fillId="34" borderId="43" xfId="0" applyFont="1" applyFill="1" applyBorder="1" applyAlignment="1" applyProtection="1" quotePrefix="1">
      <alignment horizontal="left" vertical="center"/>
      <protection locked="0"/>
    </xf>
    <xf numFmtId="176" fontId="3" fillId="34" borderId="21" xfId="0" applyNumberFormat="1" applyFont="1" applyFill="1" applyBorder="1" applyAlignment="1" applyProtection="1">
      <alignment vertical="center"/>
      <protection locked="0"/>
    </xf>
    <xf numFmtId="176" fontId="3" fillId="34" borderId="0" xfId="0" applyNumberFormat="1" applyFont="1" applyFill="1" applyBorder="1" applyAlignment="1" applyProtection="1">
      <alignment vertical="center"/>
      <protection locked="0"/>
    </xf>
    <xf numFmtId="176" fontId="3" fillId="34" borderId="35" xfId="0" applyNumberFormat="1" applyFont="1" applyFill="1" applyBorder="1" applyAlignment="1" applyProtection="1">
      <alignment horizontal="center" vertical="center"/>
      <protection locked="0"/>
    </xf>
    <xf numFmtId="0" fontId="3" fillId="0" borderId="65" xfId="0" applyFont="1" applyBorder="1" applyAlignment="1">
      <alignment horizontal="center" vertical="center"/>
    </xf>
    <xf numFmtId="0" fontId="9" fillId="0" borderId="65" xfId="0" applyFont="1" applyBorder="1" applyAlignment="1" applyProtection="1">
      <alignment horizontal="center" vertical="center"/>
      <protection locked="0"/>
    </xf>
    <xf numFmtId="0" fontId="3" fillId="34" borderId="36" xfId="0" applyFont="1" applyFill="1" applyBorder="1" applyAlignment="1" applyProtection="1">
      <alignment horizontal="center" vertical="center"/>
      <protection locked="0"/>
    </xf>
    <xf numFmtId="0" fontId="3" fillId="34" borderId="37" xfId="0" applyFont="1" applyFill="1" applyBorder="1" applyAlignment="1" applyProtection="1">
      <alignment horizontal="center" vertical="center"/>
      <protection locked="0"/>
    </xf>
    <xf numFmtId="176" fontId="3" fillId="34" borderId="67" xfId="0" applyNumberFormat="1" applyFont="1" applyFill="1" applyBorder="1" applyAlignment="1" applyProtection="1" quotePrefix="1">
      <alignment horizontal="left" vertical="center"/>
      <protection locked="0"/>
    </xf>
    <xf numFmtId="0" fontId="0" fillId="0" borderId="12" xfId="0" applyBorder="1" applyAlignment="1">
      <alignment vertical="center"/>
    </xf>
    <xf numFmtId="0" fontId="0" fillId="0" borderId="66"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45" xfId="0" applyBorder="1" applyAlignment="1">
      <alignment vertical="center"/>
    </xf>
    <xf numFmtId="0" fontId="0" fillId="0" borderId="47" xfId="0" applyBorder="1" applyAlignment="1">
      <alignment vertical="center"/>
    </xf>
    <xf numFmtId="0" fontId="3" fillId="34" borderId="18" xfId="0" applyFont="1" applyFill="1" applyBorder="1" applyAlignment="1" applyProtection="1">
      <alignment vertical="center"/>
      <protection locked="0"/>
    </xf>
    <xf numFmtId="0" fontId="3" fillId="34" borderId="42" xfId="0" applyFont="1" applyFill="1" applyBorder="1" applyAlignment="1" applyProtection="1" quotePrefix="1">
      <alignment horizontal="left" vertical="center"/>
      <protection locked="0"/>
    </xf>
    <xf numFmtId="0" fontId="3" fillId="34" borderId="45" xfId="0" applyFont="1" applyFill="1" applyBorder="1" applyAlignment="1" applyProtection="1">
      <alignment vertical="center"/>
      <protection locked="0"/>
    </xf>
    <xf numFmtId="0" fontId="3" fillId="34" borderId="47" xfId="0" applyFont="1" applyFill="1" applyBorder="1" applyAlignment="1" applyProtection="1">
      <alignment vertical="center"/>
      <protection locked="0"/>
    </xf>
    <xf numFmtId="0" fontId="3" fillId="34" borderId="36" xfId="0" applyFont="1" applyFill="1" applyBorder="1" applyAlignment="1" applyProtection="1" quotePrefix="1">
      <alignment horizontal="center" vertical="center"/>
      <protection locked="0"/>
    </xf>
    <xf numFmtId="176" fontId="3" fillId="34" borderId="51" xfId="0" applyNumberFormat="1" applyFont="1" applyFill="1" applyBorder="1" applyAlignment="1" applyProtection="1" quotePrefix="1">
      <alignment horizontal="left" vertical="center"/>
      <protection locked="0"/>
    </xf>
    <xf numFmtId="176" fontId="3" fillId="34" borderId="45" xfId="0" applyNumberFormat="1" applyFont="1" applyFill="1" applyBorder="1" applyAlignment="1" applyProtection="1">
      <alignment horizontal="left" vertical="center"/>
      <protection locked="0"/>
    </xf>
    <xf numFmtId="176" fontId="3" fillId="34" borderId="47" xfId="0" applyNumberFormat="1" applyFont="1" applyFill="1" applyBorder="1" applyAlignment="1" applyProtection="1">
      <alignment horizontal="left" vertical="center"/>
      <protection locked="0"/>
    </xf>
    <xf numFmtId="0" fontId="3" fillId="34" borderId="59" xfId="0" applyFont="1" applyFill="1" applyBorder="1" applyAlignment="1" applyProtection="1">
      <alignment horizontal="center" vertical="center"/>
      <protection locked="0"/>
    </xf>
    <xf numFmtId="0" fontId="3" fillId="34" borderId="60" xfId="0" applyFont="1" applyFill="1" applyBorder="1" applyAlignment="1">
      <alignment horizontal="center" vertical="center"/>
    </xf>
    <xf numFmtId="0" fontId="3" fillId="34" borderId="79" xfId="0" applyFont="1" applyFill="1" applyBorder="1" applyAlignment="1">
      <alignment horizontal="center" vertical="center"/>
    </xf>
    <xf numFmtId="0" fontId="3" fillId="34" borderId="11" xfId="0" applyFont="1" applyFill="1" applyBorder="1" applyAlignment="1" applyProtection="1">
      <alignment vertical="center"/>
      <protection locked="0"/>
    </xf>
    <xf numFmtId="0" fontId="3" fillId="34" borderId="23" xfId="0" applyFont="1" applyFill="1" applyBorder="1" applyAlignment="1" applyProtection="1">
      <alignment vertical="center"/>
      <protection locked="0"/>
    </xf>
    <xf numFmtId="0" fontId="3" fillId="34" borderId="42" xfId="0" applyFont="1" applyFill="1" applyBorder="1" applyAlignment="1" applyProtection="1">
      <alignmen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9">
    <dxf>
      <font>
        <color indexed="14"/>
      </font>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26"/>
        </patternFill>
      </fill>
    </dxf>
    <dxf>
      <font>
        <color indexed="14"/>
      </font>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26"/>
        </patternFill>
      </fill>
    </dxf>
    <dxf>
      <font>
        <color rgb="FFFF00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FFFDC"/>
      <rgbColor rgb="00DCFFFF"/>
      <rgbColor rgb="00FFDCFF"/>
      <rgbColor rgb="00DCFFDC"/>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M19"/>
  <sheetViews>
    <sheetView tabSelected="1" zoomScalePageLayoutView="0" workbookViewId="0" topLeftCell="A1">
      <selection activeCell="G5" sqref="G5"/>
    </sheetView>
  </sheetViews>
  <sheetFormatPr defaultColWidth="8.75390625" defaultRowHeight="15.75" customHeight="1"/>
  <cols>
    <col min="1" max="1" width="2.75390625" style="144" customWidth="1"/>
    <col min="2" max="16384" width="8.75390625" style="144" customWidth="1"/>
  </cols>
  <sheetData>
    <row r="2" spans="2:13" ht="15.75" customHeight="1">
      <c r="B2" s="141" t="s">
        <v>475</v>
      </c>
      <c r="C2" s="7"/>
      <c r="D2" s="7"/>
      <c r="E2" s="7"/>
      <c r="F2" s="7"/>
      <c r="G2" s="7"/>
      <c r="H2" s="7"/>
      <c r="I2" s="7"/>
      <c r="J2" s="7"/>
      <c r="K2" s="7"/>
      <c r="L2" s="7"/>
      <c r="M2" s="7"/>
    </row>
    <row r="3" spans="2:13" ht="15.75" customHeight="1">
      <c r="B3" s="7"/>
      <c r="C3" s="7" t="s">
        <v>476</v>
      </c>
      <c r="D3" s="7"/>
      <c r="E3" s="7"/>
      <c r="F3" s="7"/>
      <c r="G3" s="7"/>
      <c r="H3" s="7"/>
      <c r="I3" s="7"/>
      <c r="J3" s="7"/>
      <c r="K3" s="7"/>
      <c r="L3" s="7"/>
      <c r="M3" s="7"/>
    </row>
    <row r="4" spans="2:13" ht="15.75" customHeight="1">
      <c r="B4" s="7"/>
      <c r="C4" s="7" t="s">
        <v>477</v>
      </c>
      <c r="D4" s="7"/>
      <c r="E4" s="7"/>
      <c r="F4" s="7"/>
      <c r="G4" s="7"/>
      <c r="H4" s="7"/>
      <c r="I4" s="7"/>
      <c r="J4" s="7"/>
      <c r="K4" s="7"/>
      <c r="L4" s="7"/>
      <c r="M4" s="7"/>
    </row>
    <row r="5" spans="2:13" ht="15.75" customHeight="1">
      <c r="B5" s="141" t="s">
        <v>390</v>
      </c>
      <c r="C5" s="7"/>
      <c r="D5" s="7"/>
      <c r="E5" s="7"/>
      <c r="F5" s="7"/>
      <c r="G5" s="7"/>
      <c r="H5" s="7"/>
      <c r="I5" s="7"/>
      <c r="J5" s="7"/>
      <c r="K5" s="7"/>
      <c r="L5" s="7"/>
      <c r="M5" s="7"/>
    </row>
    <row r="6" spans="2:13" ht="15.75" customHeight="1">
      <c r="B6" s="7"/>
      <c r="C6" s="7" t="s">
        <v>391</v>
      </c>
      <c r="D6" s="7"/>
      <c r="E6" s="7"/>
      <c r="F6" s="7"/>
      <c r="G6" s="7"/>
      <c r="H6" s="7"/>
      <c r="I6" s="7"/>
      <c r="J6" s="7"/>
      <c r="K6" s="7"/>
      <c r="L6" s="7"/>
      <c r="M6" s="7"/>
    </row>
    <row r="7" spans="2:13" ht="15.75" customHeight="1">
      <c r="B7" s="7"/>
      <c r="C7" s="7" t="s">
        <v>392</v>
      </c>
      <c r="D7" s="7"/>
      <c r="E7" s="7"/>
      <c r="F7" s="7"/>
      <c r="G7" s="7"/>
      <c r="H7" s="7"/>
      <c r="I7" s="7"/>
      <c r="J7" s="7"/>
      <c r="K7" s="7"/>
      <c r="L7" s="7"/>
      <c r="M7" s="7"/>
    </row>
    <row r="8" spans="2:13" ht="15.75" customHeight="1">
      <c r="B8" s="7"/>
      <c r="C8" s="4" t="s">
        <v>470</v>
      </c>
      <c r="D8" s="7"/>
      <c r="E8" s="7"/>
      <c r="F8" s="7"/>
      <c r="G8" s="7"/>
      <c r="H8" s="7"/>
      <c r="I8" s="7"/>
      <c r="J8" s="7"/>
      <c r="K8" s="7"/>
      <c r="L8" s="7"/>
      <c r="M8" s="7"/>
    </row>
    <row r="9" spans="2:13" ht="15.75" customHeight="1">
      <c r="B9" s="7"/>
      <c r="C9" s="4" t="s">
        <v>471</v>
      </c>
      <c r="D9" s="7"/>
      <c r="E9" s="7"/>
      <c r="F9" s="7"/>
      <c r="G9" s="7"/>
      <c r="H9" s="7"/>
      <c r="I9" s="7"/>
      <c r="J9" s="7"/>
      <c r="K9" s="7"/>
      <c r="L9" s="7"/>
      <c r="M9" s="7"/>
    </row>
    <row r="10" spans="2:13" ht="15.75" customHeight="1">
      <c r="B10" s="7"/>
      <c r="C10" s="4" t="s">
        <v>472</v>
      </c>
      <c r="D10" s="7"/>
      <c r="E10" s="7"/>
      <c r="F10" s="7"/>
      <c r="G10" s="7"/>
      <c r="H10" s="7"/>
      <c r="I10" s="7"/>
      <c r="J10" s="7"/>
      <c r="K10" s="7"/>
      <c r="L10" s="7"/>
      <c r="M10" s="7"/>
    </row>
    <row r="11" spans="2:13" ht="15.75" customHeight="1">
      <c r="B11" s="7"/>
      <c r="C11" s="4" t="s">
        <v>473</v>
      </c>
      <c r="D11" s="7"/>
      <c r="E11" s="7"/>
      <c r="F11" s="7"/>
      <c r="G11" s="7"/>
      <c r="H11" s="7"/>
      <c r="I11" s="7"/>
      <c r="J11" s="7"/>
      <c r="K11" s="7"/>
      <c r="L11" s="7"/>
      <c r="M11" s="7"/>
    </row>
    <row r="12" spans="2:13" ht="15.75" customHeight="1">
      <c r="B12" s="7"/>
      <c r="C12" s="4" t="s">
        <v>474</v>
      </c>
      <c r="D12" s="7"/>
      <c r="E12" s="7"/>
      <c r="F12" s="7"/>
      <c r="G12" s="7"/>
      <c r="H12" s="7"/>
      <c r="I12" s="7"/>
      <c r="J12" s="7"/>
      <c r="K12" s="7"/>
      <c r="L12" s="7"/>
      <c r="M12" s="7"/>
    </row>
    <row r="13" spans="2:13" ht="15.75" customHeight="1">
      <c r="B13" s="7"/>
      <c r="C13" s="7"/>
      <c r="D13" s="7"/>
      <c r="E13" s="7"/>
      <c r="F13" s="7"/>
      <c r="G13" s="7"/>
      <c r="H13" s="7"/>
      <c r="I13" s="7"/>
      <c r="J13" s="7"/>
      <c r="K13" s="7"/>
      <c r="L13" s="7"/>
      <c r="M13" s="7"/>
    </row>
    <row r="14" spans="2:13" ht="15.75" customHeight="1">
      <c r="B14" s="7"/>
      <c r="C14" s="134"/>
      <c r="D14" s="7" t="s">
        <v>393</v>
      </c>
      <c r="E14" s="7"/>
      <c r="F14" s="7"/>
      <c r="G14" s="7"/>
      <c r="H14" s="7"/>
      <c r="I14" s="7"/>
      <c r="J14" s="7"/>
      <c r="K14" s="7"/>
      <c r="L14" s="7"/>
      <c r="M14" s="7"/>
    </row>
    <row r="15" spans="2:13" ht="15.75" customHeight="1">
      <c r="B15" s="7"/>
      <c r="C15" s="135"/>
      <c r="D15" s="7" t="s">
        <v>394</v>
      </c>
      <c r="E15" s="7"/>
      <c r="F15" s="7"/>
      <c r="G15" s="7"/>
      <c r="H15" s="7"/>
      <c r="I15" s="7"/>
      <c r="J15" s="7"/>
      <c r="K15" s="7"/>
      <c r="L15" s="7"/>
      <c r="M15" s="7"/>
    </row>
    <row r="16" spans="2:13" ht="15.75" customHeight="1">
      <c r="B16" s="7"/>
      <c r="C16" s="136"/>
      <c r="D16" s="7" t="s">
        <v>395</v>
      </c>
      <c r="E16" s="7"/>
      <c r="F16" s="7"/>
      <c r="G16" s="7"/>
      <c r="H16" s="7"/>
      <c r="I16" s="7"/>
      <c r="J16" s="7"/>
      <c r="K16" s="7"/>
      <c r="L16" s="7"/>
      <c r="M16" s="7"/>
    </row>
    <row r="17" spans="2:13" ht="15.75" customHeight="1">
      <c r="B17" s="7"/>
      <c r="C17" s="7"/>
      <c r="D17" s="7"/>
      <c r="E17" s="7"/>
      <c r="F17" s="7"/>
      <c r="G17" s="7"/>
      <c r="H17" s="7"/>
      <c r="I17" s="7"/>
      <c r="J17" s="7"/>
      <c r="K17" s="7"/>
      <c r="L17" s="7"/>
      <c r="M17" s="7"/>
    </row>
    <row r="18" spans="2:13" ht="15.75" customHeight="1">
      <c r="B18" s="7"/>
      <c r="C18" s="7" t="s">
        <v>438</v>
      </c>
      <c r="D18" s="7"/>
      <c r="E18" s="7"/>
      <c r="F18" s="7"/>
      <c r="G18" s="7"/>
      <c r="H18" s="7"/>
      <c r="I18" s="7"/>
      <c r="J18" s="7"/>
      <c r="K18" s="7"/>
      <c r="L18" s="7"/>
      <c r="M18" s="7"/>
    </row>
    <row r="19" spans="2:13" ht="15.75" customHeight="1">
      <c r="B19" s="7"/>
      <c r="C19" s="7"/>
      <c r="D19" s="7"/>
      <c r="E19" s="7"/>
      <c r="F19" s="7"/>
      <c r="G19" s="7"/>
      <c r="H19" s="7"/>
      <c r="I19" s="7"/>
      <c r="J19" s="7"/>
      <c r="K19" s="7"/>
      <c r="L19" s="7"/>
      <c r="M19" s="7"/>
    </row>
  </sheetData>
  <sheetProtection/>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AJ207"/>
  <sheetViews>
    <sheetView showRowColHeaders="0" zoomScaleSheetLayoutView="100" zoomScalePageLayoutView="0" workbookViewId="0" topLeftCell="A4">
      <selection activeCell="M101" sqref="M101:O101"/>
    </sheetView>
  </sheetViews>
  <sheetFormatPr defaultColWidth="8.75390625" defaultRowHeight="19.5" customHeight="1"/>
  <cols>
    <col min="1" max="1" width="2.75390625" style="1" customWidth="1"/>
    <col min="2" max="2" width="4.75390625" style="1" customWidth="1"/>
    <col min="3" max="3" width="6.75390625" style="1" customWidth="1"/>
    <col min="4" max="4" width="8.75390625" style="1" customWidth="1"/>
    <col min="5" max="5" width="12.75390625" style="1" customWidth="1"/>
    <col min="6" max="6" width="7.75390625" style="1" customWidth="1"/>
    <col min="7" max="7" width="6.75390625" style="1" customWidth="1"/>
    <col min="8" max="8" width="1.875" style="1" customWidth="1"/>
    <col min="9" max="10" width="6.75390625" style="1" customWidth="1"/>
    <col min="11" max="11" width="7.75390625" style="1" customWidth="1"/>
    <col min="12" max="13" width="6.75390625" style="1" customWidth="1"/>
    <col min="14" max="14" width="1.875" style="1" customWidth="1"/>
    <col min="15" max="15" width="6.75390625" style="1" customWidth="1"/>
    <col min="16" max="17" width="7.75390625" style="1" customWidth="1"/>
    <col min="18" max="19" width="8.75390625" style="1" customWidth="1"/>
    <col min="20" max="20" width="2.75390625" style="1" customWidth="1"/>
    <col min="21" max="22" width="8.75390625" style="1" hidden="1" customWidth="1"/>
    <col min="23" max="23" width="20.75390625" style="1" hidden="1" customWidth="1"/>
    <col min="24" max="24" width="4.75390625" style="1" hidden="1" customWidth="1"/>
    <col min="25" max="26" width="2.75390625" style="1" hidden="1" customWidth="1"/>
    <col min="27" max="27" width="5.75390625" style="1" hidden="1" customWidth="1"/>
    <col min="28" max="33" width="4.75390625" style="1" hidden="1" customWidth="1"/>
    <col min="34" max="16384" width="8.75390625" style="1" customWidth="1"/>
  </cols>
  <sheetData>
    <row r="1" spans="5:11" ht="19.5" customHeight="1">
      <c r="E1" s="1" t="s">
        <v>386</v>
      </c>
      <c r="K1" s="1" t="s">
        <v>387</v>
      </c>
    </row>
    <row r="2" spans="2:34" ht="24" customHeight="1">
      <c r="B2" s="2"/>
      <c r="C2" s="2"/>
      <c r="D2" s="2"/>
      <c r="E2" s="509" t="s">
        <v>384</v>
      </c>
      <c r="F2" s="510"/>
      <c r="G2" s="510"/>
      <c r="H2" s="510"/>
      <c r="I2" s="510"/>
      <c r="J2" s="510"/>
      <c r="K2" s="510"/>
      <c r="L2" s="510"/>
      <c r="M2" s="510"/>
      <c r="N2" s="510"/>
      <c r="O2" s="510"/>
      <c r="P2" s="510"/>
      <c r="Q2" s="510"/>
      <c r="R2" s="2"/>
      <c r="S2" s="2"/>
      <c r="AH2" s="1" t="s">
        <v>390</v>
      </c>
    </row>
    <row r="3" spans="2:19" ht="24" customHeight="1">
      <c r="B3" s="2"/>
      <c r="C3" s="2"/>
      <c r="D3" s="2"/>
      <c r="E3" s="2"/>
      <c r="F3" s="2"/>
      <c r="G3" s="2"/>
      <c r="H3" s="2"/>
      <c r="I3" s="2"/>
      <c r="J3" s="2"/>
      <c r="K3" s="2"/>
      <c r="L3" s="2"/>
      <c r="M3" s="2"/>
      <c r="N3" s="2"/>
      <c r="O3" s="2"/>
      <c r="P3" s="2"/>
      <c r="Q3" s="2"/>
      <c r="R3" s="2"/>
      <c r="S3" s="2"/>
    </row>
    <row r="4" spans="2:36" ht="24" customHeight="1">
      <c r="B4" s="2"/>
      <c r="C4" s="2"/>
      <c r="D4" s="189" t="s">
        <v>220</v>
      </c>
      <c r="E4" s="151"/>
      <c r="F4" s="166"/>
      <c r="G4" s="167"/>
      <c r="H4" s="167"/>
      <c r="I4" s="167"/>
      <c r="J4" s="167"/>
      <c r="K4" s="167"/>
      <c r="L4" s="167"/>
      <c r="M4" s="167"/>
      <c r="N4" s="167"/>
      <c r="O4" s="167"/>
      <c r="P4" s="167"/>
      <c r="Q4" s="168"/>
      <c r="R4" s="2"/>
      <c r="S4" s="2"/>
      <c r="AI4" s="134"/>
      <c r="AJ4" s="1" t="s">
        <v>393</v>
      </c>
    </row>
    <row r="5" spans="2:36" ht="24" customHeight="1">
      <c r="B5" s="2"/>
      <c r="C5" s="2"/>
      <c r="D5" s="150" t="s">
        <v>227</v>
      </c>
      <c r="E5" s="151"/>
      <c r="F5" s="166"/>
      <c r="G5" s="167"/>
      <c r="H5" s="167"/>
      <c r="I5" s="167"/>
      <c r="J5" s="167"/>
      <c r="K5" s="167"/>
      <c r="L5" s="167"/>
      <c r="M5" s="167"/>
      <c r="N5" s="167"/>
      <c r="O5" s="167"/>
      <c r="P5" s="167"/>
      <c r="Q5" s="168"/>
      <c r="R5" s="2"/>
      <c r="S5" s="2"/>
      <c r="AI5" s="135"/>
      <c r="AJ5" s="1" t="s">
        <v>394</v>
      </c>
    </row>
    <row r="6" spans="2:36" ht="24" customHeight="1">
      <c r="B6" s="2"/>
      <c r="C6" s="2"/>
      <c r="D6" s="150" t="s">
        <v>228</v>
      </c>
      <c r="E6" s="151"/>
      <c r="F6" s="190" t="s">
        <v>221</v>
      </c>
      <c r="G6" s="191"/>
      <c r="H6" s="191"/>
      <c r="I6" s="192"/>
      <c r="J6" s="192"/>
      <c r="K6" s="192"/>
      <c r="L6" s="192"/>
      <c r="M6" s="192"/>
      <c r="N6" s="192"/>
      <c r="O6" s="192"/>
      <c r="P6" s="192"/>
      <c r="Q6" s="193"/>
      <c r="R6" s="2"/>
      <c r="S6" s="2"/>
      <c r="AI6" s="136"/>
      <c r="AJ6" s="1" t="s">
        <v>395</v>
      </c>
    </row>
    <row r="7" spans="2:35" ht="24" customHeight="1">
      <c r="B7" s="2"/>
      <c r="C7" s="2"/>
      <c r="D7" s="150" t="s">
        <v>229</v>
      </c>
      <c r="E7" s="151"/>
      <c r="F7" s="166"/>
      <c r="G7" s="167"/>
      <c r="H7" s="167"/>
      <c r="I7" s="167"/>
      <c r="J7" s="167"/>
      <c r="K7" s="150" t="s">
        <v>233</v>
      </c>
      <c r="L7" s="151"/>
      <c r="M7" s="166"/>
      <c r="N7" s="167"/>
      <c r="O7" s="167"/>
      <c r="P7" s="167"/>
      <c r="Q7" s="168"/>
      <c r="R7" s="2"/>
      <c r="S7" s="2"/>
      <c r="AI7" s="1" t="s">
        <v>396</v>
      </c>
    </row>
    <row r="8" spans="2:36" ht="24" customHeight="1">
      <c r="B8" s="2"/>
      <c r="C8" s="2"/>
      <c r="D8" s="150" t="s">
        <v>230</v>
      </c>
      <c r="E8" s="151"/>
      <c r="F8" s="94" t="s">
        <v>223</v>
      </c>
      <c r="G8" s="95"/>
      <c r="H8" s="96" t="s">
        <v>224</v>
      </c>
      <c r="I8" s="97"/>
      <c r="J8" s="179" t="s">
        <v>388</v>
      </c>
      <c r="K8" s="87" t="s">
        <v>197</v>
      </c>
      <c r="L8" s="100"/>
      <c r="M8" s="100"/>
      <c r="N8" s="100"/>
      <c r="O8" s="100"/>
      <c r="P8" s="104"/>
      <c r="Q8" s="102"/>
      <c r="R8" s="2"/>
      <c r="S8" s="2"/>
      <c r="AI8" s="133"/>
      <c r="AJ8" s="1" t="s">
        <v>403</v>
      </c>
    </row>
    <row r="9" spans="2:36" ht="24" customHeight="1">
      <c r="B9" s="2"/>
      <c r="C9" s="2"/>
      <c r="D9" s="150" t="s">
        <v>231</v>
      </c>
      <c r="E9" s="151"/>
      <c r="F9" s="176"/>
      <c r="G9" s="177"/>
      <c r="H9" s="98" t="s">
        <v>225</v>
      </c>
      <c r="I9" s="99"/>
      <c r="J9" s="180"/>
      <c r="K9" s="105" t="s">
        <v>234</v>
      </c>
      <c r="L9" s="58"/>
      <c r="M9" s="58"/>
      <c r="N9" s="58"/>
      <c r="O9" s="58"/>
      <c r="P9" s="59"/>
      <c r="Q9" s="103"/>
      <c r="R9" s="2"/>
      <c r="S9" s="2"/>
      <c r="AJ9" s="133" t="s">
        <v>405</v>
      </c>
    </row>
    <row r="10" spans="2:36" ht="24" customHeight="1">
      <c r="B10" s="2"/>
      <c r="C10" s="2"/>
      <c r="D10" s="150" t="s">
        <v>232</v>
      </c>
      <c r="E10" s="151"/>
      <c r="F10" s="162"/>
      <c r="G10" s="178"/>
      <c r="H10" s="98" t="s">
        <v>226</v>
      </c>
      <c r="I10" s="99"/>
      <c r="J10" s="180"/>
      <c r="K10" s="105" t="s">
        <v>235</v>
      </c>
      <c r="L10" s="58"/>
      <c r="M10" s="58"/>
      <c r="N10" s="58"/>
      <c r="O10" s="58"/>
      <c r="P10" s="59"/>
      <c r="Q10" s="103"/>
      <c r="R10" s="2"/>
      <c r="S10" s="2"/>
      <c r="AJ10" s="137" t="s">
        <v>404</v>
      </c>
    </row>
    <row r="11" spans="2:36" ht="24" customHeight="1">
      <c r="B11" s="2"/>
      <c r="C11" s="2"/>
      <c r="D11" s="150"/>
      <c r="E11" s="151"/>
      <c r="F11" s="186"/>
      <c r="G11" s="187"/>
      <c r="H11" s="187"/>
      <c r="I11" s="188"/>
      <c r="J11" s="180"/>
      <c r="K11" s="89" t="s">
        <v>193</v>
      </c>
      <c r="L11" s="58"/>
      <c r="M11" s="58"/>
      <c r="N11" s="58"/>
      <c r="O11" s="58"/>
      <c r="P11" s="59"/>
      <c r="Q11" s="103"/>
      <c r="R11" s="2"/>
      <c r="S11" s="2"/>
      <c r="AI11" s="133" t="s">
        <v>408</v>
      </c>
      <c r="AJ11" s="133"/>
    </row>
    <row r="12" spans="2:35" ht="24" customHeight="1">
      <c r="B12" s="2"/>
      <c r="C12" s="2"/>
      <c r="D12" s="150"/>
      <c r="E12" s="151"/>
      <c r="F12" s="186"/>
      <c r="G12" s="187"/>
      <c r="H12" s="187"/>
      <c r="I12" s="188"/>
      <c r="J12" s="180"/>
      <c r="K12" s="89" t="s">
        <v>222</v>
      </c>
      <c r="L12" s="58"/>
      <c r="M12" s="58"/>
      <c r="N12" s="58"/>
      <c r="O12" s="58"/>
      <c r="P12" s="59"/>
      <c r="Q12" s="103"/>
      <c r="R12" s="2"/>
      <c r="S12" s="2"/>
      <c r="AI12" s="1" t="s">
        <v>397</v>
      </c>
    </row>
    <row r="13" spans="2:36" ht="24" customHeight="1">
      <c r="B13" s="2"/>
      <c r="C13" s="2"/>
      <c r="D13" s="169" t="s">
        <v>361</v>
      </c>
      <c r="E13" s="170"/>
      <c r="F13" s="173" t="s">
        <v>362</v>
      </c>
      <c r="G13" s="174"/>
      <c r="H13" s="174"/>
      <c r="I13" s="175"/>
      <c r="J13" s="181"/>
      <c r="K13" s="129"/>
      <c r="L13" s="113"/>
      <c r="M13" s="113"/>
      <c r="N13" s="113"/>
      <c r="O13" s="113"/>
      <c r="P13" s="114"/>
      <c r="Q13" s="138"/>
      <c r="R13" s="2"/>
      <c r="S13" s="2"/>
      <c r="AJ13" s="1" t="s">
        <v>398</v>
      </c>
    </row>
    <row r="14" spans="2:19" ht="24" customHeight="1">
      <c r="B14" s="2"/>
      <c r="C14" s="2"/>
      <c r="D14" s="171"/>
      <c r="E14" s="172"/>
      <c r="F14" s="183">
        <v>26200</v>
      </c>
      <c r="G14" s="184"/>
      <c r="H14" s="184"/>
      <c r="I14" s="185"/>
      <c r="J14" s="182"/>
      <c r="K14" s="88"/>
      <c r="L14" s="101"/>
      <c r="M14" s="101"/>
      <c r="N14" s="101"/>
      <c r="O14" s="101"/>
      <c r="P14" s="106"/>
      <c r="Q14" s="139"/>
      <c r="R14" s="2"/>
      <c r="S14" s="2"/>
    </row>
    <row r="15" spans="2:19" ht="24" customHeight="1">
      <c r="B15" s="2"/>
      <c r="C15" s="2"/>
      <c r="D15" s="53"/>
      <c r="E15" s="53"/>
      <c r="F15" s="93"/>
      <c r="G15" s="90"/>
      <c r="H15" s="2"/>
      <c r="I15" s="2"/>
      <c r="J15" s="2"/>
      <c r="K15" s="150" t="s">
        <v>237</v>
      </c>
      <c r="L15" s="151"/>
      <c r="M15" s="147">
        <f>IF(R23="","",R23)</f>
      </c>
      <c r="N15" s="148"/>
      <c r="O15" s="148"/>
      <c r="P15" s="148"/>
      <c r="Q15" s="149"/>
      <c r="R15" s="2"/>
      <c r="S15" s="2"/>
    </row>
    <row r="16" spans="2:19" ht="24" customHeight="1">
      <c r="B16" s="2"/>
      <c r="C16" s="2" t="s">
        <v>239</v>
      </c>
      <c r="D16" s="53"/>
      <c r="E16" s="53"/>
      <c r="F16" s="93"/>
      <c r="G16" s="90"/>
      <c r="H16" s="2"/>
      <c r="I16" s="2"/>
      <c r="J16" s="2"/>
      <c r="K16" s="52"/>
      <c r="L16" s="53"/>
      <c r="M16" s="2"/>
      <c r="N16" s="2"/>
      <c r="O16" s="2"/>
      <c r="P16" s="2"/>
      <c r="Q16" s="2"/>
      <c r="R16" s="2"/>
      <c r="S16" s="2"/>
    </row>
    <row r="17" spans="2:35" ht="24" customHeight="1">
      <c r="B17" s="7"/>
      <c r="C17" s="19" t="s">
        <v>16</v>
      </c>
      <c r="D17" s="12"/>
      <c r="E17" s="12"/>
      <c r="F17" s="12"/>
      <c r="G17" s="296" t="s">
        <v>70</v>
      </c>
      <c r="H17" s="368"/>
      <c r="I17" s="107" t="s">
        <v>119</v>
      </c>
      <c r="J17" s="150" t="s">
        <v>451</v>
      </c>
      <c r="K17" s="296"/>
      <c r="L17" s="142">
        <f>IF(R94="","",R94)</f>
      </c>
      <c r="M17" s="297" t="s">
        <v>453</v>
      </c>
      <c r="N17" s="298"/>
      <c r="O17" s="294">
        <f>IF(OR(F14="",R94=""),"",F14)</f>
      </c>
      <c r="P17" s="295"/>
      <c r="Q17" s="143" t="s">
        <v>452</v>
      </c>
      <c r="R17" s="159">
        <f>IF(R94="","",L17*O17)</f>
      </c>
      <c r="S17" s="156"/>
      <c r="AI17" s="133"/>
    </row>
    <row r="18" spans="2:35" ht="24" customHeight="1">
      <c r="B18" s="7"/>
      <c r="C18" s="42" t="s">
        <v>17</v>
      </c>
      <c r="D18" s="24"/>
      <c r="E18" s="24"/>
      <c r="F18" s="24"/>
      <c r="G18" s="471" t="s">
        <v>135</v>
      </c>
      <c r="H18" s="472"/>
      <c r="I18" s="43" t="s">
        <v>97</v>
      </c>
      <c r="J18" s="289" t="s">
        <v>187</v>
      </c>
      <c r="K18" s="290"/>
      <c r="L18" s="290"/>
      <c r="M18" s="290"/>
      <c r="N18" s="291">
        <v>0.92</v>
      </c>
      <c r="O18" s="292"/>
      <c r="P18" s="292"/>
      <c r="Q18" s="293"/>
      <c r="R18" s="287">
        <f>IF(R94="","",ROUNDDOWN(R17*N18,-2))</f>
      </c>
      <c r="S18" s="288"/>
      <c r="AI18" s="133" t="s">
        <v>406</v>
      </c>
    </row>
    <row r="19" spans="2:35" ht="24" customHeight="1">
      <c r="B19" s="7"/>
      <c r="C19" s="19" t="s">
        <v>18</v>
      </c>
      <c r="D19" s="12"/>
      <c r="E19" s="12"/>
      <c r="F19" s="12"/>
      <c r="G19" s="367" t="s">
        <v>136</v>
      </c>
      <c r="H19" s="368"/>
      <c r="I19" s="14" t="s">
        <v>97</v>
      </c>
      <c r="J19" s="289" t="s">
        <v>188</v>
      </c>
      <c r="K19" s="290"/>
      <c r="L19" s="290"/>
      <c r="M19" s="290"/>
      <c r="N19" s="291">
        <v>0.2</v>
      </c>
      <c r="O19" s="292"/>
      <c r="P19" s="292"/>
      <c r="Q19" s="293"/>
      <c r="R19" s="159">
        <f>IF(R94="","",ROUNDDOWN((R17+R18)*N19,-2))</f>
      </c>
      <c r="S19" s="156"/>
      <c r="AI19" s="133" t="s">
        <v>407</v>
      </c>
    </row>
    <row r="20" spans="2:19" ht="24" customHeight="1">
      <c r="B20" s="7"/>
      <c r="C20" s="44" t="s">
        <v>19</v>
      </c>
      <c r="D20" s="28"/>
      <c r="E20" s="28"/>
      <c r="F20" s="28"/>
      <c r="G20" s="362" t="s">
        <v>137</v>
      </c>
      <c r="H20" s="473"/>
      <c r="I20" s="45" t="s">
        <v>97</v>
      </c>
      <c r="J20" s="362" t="s">
        <v>32</v>
      </c>
      <c r="K20" s="241"/>
      <c r="L20" s="241"/>
      <c r="M20" s="241"/>
      <c r="N20" s="241"/>
      <c r="O20" s="241"/>
      <c r="P20" s="241"/>
      <c r="Q20" s="241"/>
      <c r="R20" s="160">
        <f>IF(R17="","",IF(P139="",0,P139))</f>
      </c>
      <c r="S20" s="161"/>
    </row>
    <row r="21" spans="2:35" ht="24" customHeight="1">
      <c r="B21" s="7"/>
      <c r="C21" s="19" t="s">
        <v>20</v>
      </c>
      <c r="D21" s="12"/>
      <c r="E21" s="12"/>
      <c r="F21" s="12"/>
      <c r="G21" s="367" t="s">
        <v>138</v>
      </c>
      <c r="H21" s="368"/>
      <c r="I21" s="14" t="s">
        <v>97</v>
      </c>
      <c r="J21" s="363" t="s">
        <v>252</v>
      </c>
      <c r="K21" s="364"/>
      <c r="L21" s="364"/>
      <c r="M21" s="364"/>
      <c r="N21" s="364"/>
      <c r="O21" s="364"/>
      <c r="P21" s="364"/>
      <c r="Q21" s="364"/>
      <c r="R21" s="162">
        <v>0</v>
      </c>
      <c r="S21" s="163"/>
      <c r="AI21" s="133" t="s">
        <v>399</v>
      </c>
    </row>
    <row r="22" spans="2:35" ht="24" customHeight="1" thickBot="1">
      <c r="B22" s="7"/>
      <c r="C22" s="20" t="s">
        <v>21</v>
      </c>
      <c r="D22" s="13"/>
      <c r="E22" s="13"/>
      <c r="F22" s="13"/>
      <c r="G22" s="474" t="s">
        <v>139</v>
      </c>
      <c r="H22" s="475"/>
      <c r="I22" s="15" t="s">
        <v>97</v>
      </c>
      <c r="J22" s="383" t="s">
        <v>186</v>
      </c>
      <c r="K22" s="384"/>
      <c r="L22" s="384"/>
      <c r="M22" s="384"/>
      <c r="N22" s="384"/>
      <c r="O22" s="384"/>
      <c r="P22" s="157">
        <v>0.05</v>
      </c>
      <c r="Q22" s="158"/>
      <c r="R22" s="164">
        <f>IF(R94="","",INT(SUM(R17:S21)*P22))</f>
      </c>
      <c r="S22" s="165"/>
      <c r="AI22" s="1" t="s">
        <v>400</v>
      </c>
    </row>
    <row r="23" spans="2:19" ht="24" customHeight="1" thickTop="1">
      <c r="B23" s="7"/>
      <c r="C23" s="21" t="s">
        <v>22</v>
      </c>
      <c r="D23" s="16"/>
      <c r="E23" s="16"/>
      <c r="F23" s="16"/>
      <c r="G23" s="16"/>
      <c r="H23" s="16"/>
      <c r="I23" s="17"/>
      <c r="J23" s="240" t="s">
        <v>439</v>
      </c>
      <c r="K23" s="241"/>
      <c r="L23" s="241"/>
      <c r="M23" s="241"/>
      <c r="N23" s="241"/>
      <c r="O23" s="241"/>
      <c r="P23" s="241"/>
      <c r="Q23" s="242"/>
      <c r="R23" s="238">
        <f>IF(R94="","",SUM(R17:S22))</f>
      </c>
      <c r="S23" s="239"/>
    </row>
    <row r="24" spans="2:19" ht="24" customHeight="1">
      <c r="B24" s="7"/>
      <c r="C24" s="19" t="s">
        <v>23</v>
      </c>
      <c r="D24" s="12"/>
      <c r="E24" s="12"/>
      <c r="F24" s="12"/>
      <c r="G24" s="12"/>
      <c r="H24" s="12"/>
      <c r="I24" s="18"/>
      <c r="J24" s="12"/>
      <c r="K24" s="12"/>
      <c r="L24" s="12"/>
      <c r="M24" s="12"/>
      <c r="N24" s="12"/>
      <c r="O24" s="12"/>
      <c r="P24" s="12"/>
      <c r="Q24" s="12"/>
      <c r="R24" s="155">
        <f>IF(R94="","",SUM(R17:S21))</f>
      </c>
      <c r="S24" s="156"/>
    </row>
    <row r="25" spans="2:19" ht="24" customHeight="1">
      <c r="B25" s="7"/>
      <c r="C25" s="31"/>
      <c r="D25" s="7"/>
      <c r="E25" s="7"/>
      <c r="F25" s="7"/>
      <c r="G25" s="7"/>
      <c r="H25" s="7"/>
      <c r="I25" s="7"/>
      <c r="J25" s="7"/>
      <c r="K25" s="7"/>
      <c r="L25" s="7"/>
      <c r="M25" s="7"/>
      <c r="N25" s="7"/>
      <c r="O25" s="7"/>
      <c r="P25" s="7"/>
      <c r="Q25" s="7"/>
      <c r="R25" s="49"/>
      <c r="S25" s="49"/>
    </row>
    <row r="26" spans="2:19" ht="30" customHeight="1">
      <c r="B26" s="7"/>
      <c r="C26" s="31"/>
      <c r="D26" s="152" t="s">
        <v>240</v>
      </c>
      <c r="E26" s="153"/>
      <c r="F26" s="153"/>
      <c r="G26" s="153"/>
      <c r="H26" s="153"/>
      <c r="I26" s="153"/>
      <c r="J26" s="153"/>
      <c r="K26" s="153"/>
      <c r="L26" s="153"/>
      <c r="M26" s="153"/>
      <c r="N26" s="153"/>
      <c r="O26" s="153"/>
      <c r="P26" s="153"/>
      <c r="Q26" s="153"/>
      <c r="R26" s="154"/>
      <c r="S26" s="49"/>
    </row>
    <row r="27" spans="2:19" ht="30" customHeight="1">
      <c r="B27" s="7"/>
      <c r="C27" s="31"/>
      <c r="D27" s="152" t="s">
        <v>460</v>
      </c>
      <c r="E27" s="153"/>
      <c r="F27" s="153"/>
      <c r="G27" s="153"/>
      <c r="H27" s="153"/>
      <c r="I27" s="153"/>
      <c r="J27" s="153"/>
      <c r="K27" s="153"/>
      <c r="L27" s="153"/>
      <c r="M27" s="153"/>
      <c r="N27" s="153"/>
      <c r="O27" s="153"/>
      <c r="P27" s="153"/>
      <c r="Q27" s="153"/>
      <c r="R27" s="154"/>
      <c r="S27" s="49"/>
    </row>
    <row r="28" spans="2:19" ht="21" customHeight="1">
      <c r="B28" s="7"/>
      <c r="C28" s="31"/>
      <c r="D28" s="7"/>
      <c r="E28" s="7"/>
      <c r="F28" s="7"/>
      <c r="G28" s="7"/>
      <c r="H28" s="7"/>
      <c r="I28" s="7"/>
      <c r="J28" s="7"/>
      <c r="K28" s="7"/>
      <c r="L28" s="7"/>
      <c r="M28" s="7"/>
      <c r="N28" s="7"/>
      <c r="O28" s="7"/>
      <c r="P28" s="7"/>
      <c r="Q28" s="7"/>
      <c r="R28" s="49"/>
      <c r="S28" s="49"/>
    </row>
    <row r="29" spans="2:19" ht="18.75" customHeight="1">
      <c r="B29" s="2"/>
      <c r="C29" s="4" t="s">
        <v>236</v>
      </c>
      <c r="D29" s="7"/>
      <c r="E29" s="7"/>
      <c r="F29" s="7"/>
      <c r="G29" s="2"/>
      <c r="H29" s="2"/>
      <c r="I29" s="2"/>
      <c r="J29" s="2"/>
      <c r="K29" s="2"/>
      <c r="L29" s="2"/>
      <c r="M29" s="2"/>
      <c r="N29" s="2"/>
      <c r="O29" s="2"/>
      <c r="P29" s="2"/>
      <c r="Q29" s="2"/>
      <c r="R29" s="2"/>
      <c r="S29" s="2"/>
    </row>
    <row r="30" spans="2:19" ht="18.75" customHeight="1">
      <c r="B30" s="7"/>
      <c r="C30" s="7"/>
      <c r="D30" s="7" t="s">
        <v>24</v>
      </c>
      <c r="E30" s="7"/>
      <c r="F30" s="7"/>
      <c r="G30" s="7"/>
      <c r="H30" s="7"/>
      <c r="I30" s="7"/>
      <c r="J30" s="159">
        <f>IF(F10="","",F10)</f>
      </c>
      <c r="K30" s="155"/>
      <c r="L30" s="156"/>
      <c r="M30" s="4" t="s">
        <v>120</v>
      </c>
      <c r="N30" s="23" t="s">
        <v>72</v>
      </c>
      <c r="O30" s="6"/>
      <c r="P30" s="6"/>
      <c r="Q30" s="24"/>
      <c r="R30" s="24"/>
      <c r="S30" s="25"/>
    </row>
    <row r="31" spans="2:19" ht="18.75" customHeight="1">
      <c r="B31" s="7"/>
      <c r="C31" s="7"/>
      <c r="D31" s="7" t="s">
        <v>25</v>
      </c>
      <c r="E31" s="7"/>
      <c r="F31" s="7"/>
      <c r="G31" s="7"/>
      <c r="H31" s="7"/>
      <c r="I31" s="7"/>
      <c r="J31" s="401">
        <f>IF(F9="","",F9)</f>
      </c>
      <c r="K31" s="402"/>
      <c r="L31" s="403"/>
      <c r="M31" s="4" t="s">
        <v>98</v>
      </c>
      <c r="N31" s="26" t="s">
        <v>73</v>
      </c>
      <c r="O31" s="27"/>
      <c r="P31" s="27"/>
      <c r="Q31" s="28"/>
      <c r="R31" s="28"/>
      <c r="S31" s="29"/>
    </row>
    <row r="32" spans="2:19" ht="6" customHeight="1">
      <c r="B32" s="7"/>
      <c r="C32" s="7"/>
      <c r="D32" s="7"/>
      <c r="E32" s="7"/>
      <c r="F32" s="7"/>
      <c r="G32" s="7"/>
      <c r="H32" s="7"/>
      <c r="I32" s="7"/>
      <c r="J32" s="7"/>
      <c r="K32" s="7"/>
      <c r="L32" s="7"/>
      <c r="M32" s="4"/>
      <c r="N32" s="33"/>
      <c r="O32" s="33"/>
      <c r="P32" s="33"/>
      <c r="Q32" s="16"/>
      <c r="R32" s="16"/>
      <c r="S32" s="16"/>
    </row>
    <row r="33" spans="2:35" ht="18.75" customHeight="1">
      <c r="B33" s="7"/>
      <c r="C33" s="7"/>
      <c r="D33" s="7" t="s">
        <v>26</v>
      </c>
      <c r="E33" s="7"/>
      <c r="F33" s="7"/>
      <c r="G33" s="404">
        <f>IF(OR(J30="",J31=""),"",IF(SUM(U35:U39)=0,1,ROUND(PRODUCT(U35:U39),2)))</f>
      </c>
      <c r="H33" s="405"/>
      <c r="I33" s="406"/>
      <c r="J33" s="7"/>
      <c r="K33" s="7"/>
      <c r="L33" s="4" t="s">
        <v>389</v>
      </c>
      <c r="M33" s="7"/>
      <c r="N33" s="521"/>
      <c r="O33" s="522"/>
      <c r="P33" s="523"/>
      <c r="Q33" s="7"/>
      <c r="R33" s="7"/>
      <c r="S33" s="7"/>
      <c r="U33" s="79">
        <f>IF(N33="2次診断",1,IF(N33="2+3次診断",2,""))</f>
      </c>
      <c r="AI33" s="133" t="s">
        <v>409</v>
      </c>
    </row>
    <row r="34" spans="2:19" ht="6" customHeight="1">
      <c r="B34" s="7"/>
      <c r="C34" s="7"/>
      <c r="D34" s="7"/>
      <c r="E34" s="7"/>
      <c r="F34" s="7"/>
      <c r="G34" s="7"/>
      <c r="H34" s="7"/>
      <c r="I34" s="7"/>
      <c r="J34" s="7"/>
      <c r="K34" s="7"/>
      <c r="L34" s="7"/>
      <c r="M34" s="7"/>
      <c r="N34" s="7"/>
      <c r="O34" s="7"/>
      <c r="P34" s="7"/>
      <c r="Q34" s="7"/>
      <c r="R34" s="7"/>
      <c r="S34" s="7"/>
    </row>
    <row r="35" spans="2:21" ht="13.5" customHeight="1">
      <c r="B35" s="7"/>
      <c r="C35" s="7"/>
      <c r="D35" s="276" t="s">
        <v>27</v>
      </c>
      <c r="E35" s="276"/>
      <c r="F35" s="276"/>
      <c r="G35" s="276"/>
      <c r="H35" s="276"/>
      <c r="I35" s="276"/>
      <c r="J35" s="276"/>
      <c r="K35" s="276"/>
      <c r="L35" s="276"/>
      <c r="M35" s="245"/>
      <c r="N35" s="284">
        <v>1.2</v>
      </c>
      <c r="O35" s="170"/>
      <c r="P35" s="22"/>
      <c r="Q35" s="7"/>
      <c r="R35" s="7"/>
      <c r="S35" s="7"/>
      <c r="U35" s="79">
        <f>IF(M35="○",1.2,"")</f>
      </c>
    </row>
    <row r="36" spans="2:19" ht="13.5" customHeight="1">
      <c r="B36" s="7"/>
      <c r="C36" s="7"/>
      <c r="D36" s="277" t="s">
        <v>28</v>
      </c>
      <c r="E36" s="278"/>
      <c r="F36" s="278"/>
      <c r="G36" s="278"/>
      <c r="H36" s="278"/>
      <c r="I36" s="278"/>
      <c r="J36" s="278"/>
      <c r="K36" s="278"/>
      <c r="L36" s="279"/>
      <c r="M36" s="283"/>
      <c r="N36" s="285"/>
      <c r="O36" s="286"/>
      <c r="P36" s="22"/>
      <c r="Q36" s="7"/>
      <c r="R36" s="7"/>
      <c r="S36" s="7"/>
    </row>
    <row r="37" spans="2:35" ht="18.75" customHeight="1">
      <c r="B37" s="7"/>
      <c r="C37" s="7"/>
      <c r="D37" s="280" t="s">
        <v>29</v>
      </c>
      <c r="E37" s="280"/>
      <c r="F37" s="280"/>
      <c r="G37" s="280"/>
      <c r="H37" s="280"/>
      <c r="I37" s="280"/>
      <c r="J37" s="280"/>
      <c r="K37" s="280"/>
      <c r="L37" s="280"/>
      <c r="M37" s="40"/>
      <c r="N37" s="194">
        <v>1.2</v>
      </c>
      <c r="O37" s="194"/>
      <c r="P37" s="22"/>
      <c r="Q37" s="7"/>
      <c r="R37" s="7"/>
      <c r="S37" s="7"/>
      <c r="U37" s="79">
        <f>IF(M37="○",1.2,"")</f>
      </c>
      <c r="AI37" s="133" t="s">
        <v>426</v>
      </c>
    </row>
    <row r="38" spans="2:36" ht="18.75" customHeight="1">
      <c r="B38" s="7"/>
      <c r="C38" s="7"/>
      <c r="D38" s="280" t="s">
        <v>30</v>
      </c>
      <c r="E38" s="280"/>
      <c r="F38" s="280"/>
      <c r="G38" s="280"/>
      <c r="H38" s="280"/>
      <c r="I38" s="280"/>
      <c r="J38" s="280"/>
      <c r="K38" s="280"/>
      <c r="L38" s="280"/>
      <c r="M38" s="40"/>
      <c r="N38" s="194">
        <v>1.4</v>
      </c>
      <c r="O38" s="194"/>
      <c r="P38" s="22"/>
      <c r="Q38" s="7"/>
      <c r="R38" s="7"/>
      <c r="S38" s="7"/>
      <c r="U38" s="79">
        <f>IF(M38="○",1.4,"")</f>
      </c>
      <c r="AI38" s="133"/>
      <c r="AJ38" s="133" t="s">
        <v>410</v>
      </c>
    </row>
    <row r="39" spans="2:36" ht="18.75" customHeight="1">
      <c r="B39" s="7"/>
      <c r="C39" s="7"/>
      <c r="D39" s="281" t="s">
        <v>401</v>
      </c>
      <c r="E39" s="282"/>
      <c r="F39" s="282"/>
      <c r="G39" s="282"/>
      <c r="H39" s="282"/>
      <c r="I39" s="282"/>
      <c r="J39" s="282"/>
      <c r="K39" s="282"/>
      <c r="L39" s="282"/>
      <c r="M39" s="41"/>
      <c r="N39" s="275"/>
      <c r="O39" s="275"/>
      <c r="P39" s="22"/>
      <c r="Q39" s="7"/>
      <c r="R39" s="7"/>
      <c r="S39" s="7"/>
      <c r="U39" s="79">
        <f>IF(N39="","",IF(M39="○",N39,""))</f>
      </c>
      <c r="AJ39" s="133" t="s">
        <v>411</v>
      </c>
    </row>
    <row r="40" spans="2:19" ht="6" customHeight="1">
      <c r="B40" s="7"/>
      <c r="C40" s="7"/>
      <c r="D40" s="108"/>
      <c r="E40" s="108"/>
      <c r="F40" s="108"/>
      <c r="G40" s="108"/>
      <c r="H40" s="108"/>
      <c r="I40" s="108"/>
      <c r="J40" s="108"/>
      <c r="K40" s="108"/>
      <c r="L40" s="108"/>
      <c r="M40" s="108"/>
      <c r="N40" s="108"/>
      <c r="O40" s="108"/>
      <c r="P40" s="108"/>
      <c r="Q40" s="108"/>
      <c r="R40" s="7"/>
      <c r="S40" s="7"/>
    </row>
    <row r="41" spans="2:35" ht="18.75" customHeight="1">
      <c r="B41" s="2"/>
      <c r="C41" s="4"/>
      <c r="D41" s="4" t="s">
        <v>191</v>
      </c>
      <c r="E41" s="7"/>
      <c r="F41" s="7"/>
      <c r="G41" s="2"/>
      <c r="H41" s="2"/>
      <c r="I41" s="2"/>
      <c r="J41" s="2"/>
      <c r="K41" s="51"/>
      <c r="L41" s="50" t="s">
        <v>109</v>
      </c>
      <c r="M41" s="51"/>
      <c r="N41" s="502" t="s">
        <v>402</v>
      </c>
      <c r="O41" s="503"/>
      <c r="P41" s="51"/>
      <c r="Q41" s="50" t="s">
        <v>195</v>
      </c>
      <c r="R41" s="2"/>
      <c r="S41" s="2"/>
      <c r="AI41" s="133" t="s">
        <v>415</v>
      </c>
    </row>
    <row r="42" spans="2:19" ht="18.75" customHeight="1">
      <c r="B42" s="2"/>
      <c r="C42" s="4"/>
      <c r="D42" s="4" t="s">
        <v>192</v>
      </c>
      <c r="E42" s="7"/>
      <c r="F42" s="7"/>
      <c r="G42" s="2"/>
      <c r="H42" s="2"/>
      <c r="I42" s="2"/>
      <c r="J42" s="2"/>
      <c r="K42" s="51"/>
      <c r="L42" s="2" t="s">
        <v>105</v>
      </c>
      <c r="M42" s="2"/>
      <c r="N42" s="2"/>
      <c r="O42" s="2"/>
      <c r="P42" s="2"/>
      <c r="Q42" s="2"/>
      <c r="R42" s="2"/>
      <c r="S42" s="2"/>
    </row>
    <row r="43" spans="2:19" ht="18.75" customHeight="1">
      <c r="B43" s="2"/>
      <c r="C43" s="4"/>
      <c r="D43" s="4" t="s">
        <v>193</v>
      </c>
      <c r="E43" s="7"/>
      <c r="F43" s="7"/>
      <c r="G43" s="2"/>
      <c r="H43" s="2"/>
      <c r="I43" s="2"/>
      <c r="J43" s="2"/>
      <c r="K43" s="51"/>
      <c r="L43" s="2" t="s">
        <v>105</v>
      </c>
      <c r="M43" s="519" t="s">
        <v>216</v>
      </c>
      <c r="N43" s="520"/>
      <c r="O43" s="162"/>
      <c r="P43" s="163"/>
      <c r="Q43" s="2" t="s">
        <v>194</v>
      </c>
      <c r="R43" s="2"/>
      <c r="S43" s="2"/>
    </row>
    <row r="44" spans="2:19" ht="6" customHeight="1">
      <c r="B44" s="2"/>
      <c r="C44" s="7"/>
      <c r="D44" s="7"/>
      <c r="E44" s="7"/>
      <c r="F44" s="7"/>
      <c r="G44" s="7"/>
      <c r="H44" s="7"/>
      <c r="I44" s="7"/>
      <c r="J44" s="7"/>
      <c r="K44" s="7"/>
      <c r="L44" s="7"/>
      <c r="M44" s="7"/>
      <c r="N44" s="7"/>
      <c r="O44" s="7"/>
      <c r="P44" s="7"/>
      <c r="Q44" s="7"/>
      <c r="R44" s="7"/>
      <c r="S44" s="7"/>
    </row>
    <row r="45" spans="2:19" ht="18.75" customHeight="1">
      <c r="B45" s="2"/>
      <c r="C45" s="4" t="s">
        <v>238</v>
      </c>
      <c r="D45" s="7"/>
      <c r="E45" s="7"/>
      <c r="F45" s="7"/>
      <c r="G45" s="2"/>
      <c r="H45" s="2"/>
      <c r="I45" s="2"/>
      <c r="J45" s="2"/>
      <c r="K45" s="2"/>
      <c r="L45" s="2"/>
      <c r="M45" s="2"/>
      <c r="N45" s="2"/>
      <c r="O45" s="2"/>
      <c r="P45" s="2"/>
      <c r="Q45" s="2"/>
      <c r="R45" s="2"/>
      <c r="S45" s="2"/>
    </row>
    <row r="46" spans="2:35" ht="18.75" customHeight="1">
      <c r="B46" s="2"/>
      <c r="C46" s="4" t="s">
        <v>208</v>
      </c>
      <c r="D46" s="4"/>
      <c r="E46" s="7"/>
      <c r="F46" s="30" t="s">
        <v>209</v>
      </c>
      <c r="G46" s="63"/>
      <c r="H46" s="2"/>
      <c r="I46" s="2"/>
      <c r="J46" s="50" t="s">
        <v>173</v>
      </c>
      <c r="K46" s="2"/>
      <c r="L46" s="2"/>
      <c r="M46" s="2"/>
      <c r="N46" s="2"/>
      <c r="O46" s="2"/>
      <c r="P46" s="30" t="s">
        <v>209</v>
      </c>
      <c r="Q46" s="63"/>
      <c r="R46" s="2"/>
      <c r="S46" s="2"/>
      <c r="U46" s="79">
        <f>IF(G46="","",VLOOKUP(G46,AA201:AB206,2))</f>
      </c>
      <c r="AI46" s="133" t="s">
        <v>412</v>
      </c>
    </row>
    <row r="47" spans="2:35" ht="18.75" customHeight="1">
      <c r="B47" s="2"/>
      <c r="C47" s="4"/>
      <c r="D47" s="4" t="s">
        <v>211</v>
      </c>
      <c r="E47" s="7"/>
      <c r="F47" s="7"/>
      <c r="G47" s="2"/>
      <c r="H47" s="2"/>
      <c r="I47" s="2"/>
      <c r="J47" s="2"/>
      <c r="K47" s="2"/>
      <c r="L47" s="2"/>
      <c r="M47" s="2"/>
      <c r="N47" s="2"/>
      <c r="O47" s="2"/>
      <c r="P47" s="2"/>
      <c r="Q47" s="2"/>
      <c r="R47" s="2"/>
      <c r="S47" s="2"/>
      <c r="U47" s="79">
        <f>IF(Q46="","",HLOOKUP(Q46,AC199:AG200,2))</f>
      </c>
      <c r="AI47" s="133" t="s">
        <v>413</v>
      </c>
    </row>
    <row r="48" spans="2:21" ht="18.75" customHeight="1">
      <c r="B48" s="2"/>
      <c r="C48" s="4"/>
      <c r="D48" s="4" t="s">
        <v>218</v>
      </c>
      <c r="E48" s="7"/>
      <c r="F48" s="7"/>
      <c r="G48" s="2"/>
      <c r="H48" s="2"/>
      <c r="I48" s="2"/>
      <c r="J48" s="2"/>
      <c r="K48" s="516"/>
      <c r="L48" s="517"/>
      <c r="M48" s="517"/>
      <c r="N48" s="518"/>
      <c r="O48" s="2"/>
      <c r="P48" s="64" t="s">
        <v>215</v>
      </c>
      <c r="Q48" s="56">
        <f>IF(OR(COUNT(U46:U48)=0,COUNT(U46:U48)=3),"",IF(OR(U46="",U47=""),U48,INDEX(AD202:AF206,U46,U47)))</f>
      </c>
      <c r="R48" s="2"/>
      <c r="S48" s="2"/>
      <c r="U48" s="79">
        <f>IF(K48="","",VLOOKUP(K48,W199:X201,2,FALSE))</f>
      </c>
    </row>
    <row r="49" spans="2:21" ht="18.75" customHeight="1">
      <c r="B49" s="2"/>
      <c r="C49" s="4" t="s">
        <v>200</v>
      </c>
      <c r="D49" s="4"/>
      <c r="E49" s="7"/>
      <c r="F49" s="7"/>
      <c r="G49" s="2"/>
      <c r="H49" s="2"/>
      <c r="I49" s="2"/>
      <c r="J49" s="2"/>
      <c r="K49" s="2"/>
      <c r="L49" s="2"/>
      <c r="M49" s="2"/>
      <c r="N49" s="2"/>
      <c r="O49" s="2"/>
      <c r="P49" s="2"/>
      <c r="Q49" s="2"/>
      <c r="R49" s="2"/>
      <c r="S49" s="2"/>
      <c r="U49" s="79"/>
    </row>
    <row r="50" spans="2:35" ht="18.75" customHeight="1">
      <c r="B50" s="2"/>
      <c r="C50" s="46" t="s">
        <v>202</v>
      </c>
      <c r="D50" s="150" t="s">
        <v>249</v>
      </c>
      <c r="E50" s="512"/>
      <c r="F50" s="512"/>
      <c r="G50" s="512"/>
      <c r="H50" s="512"/>
      <c r="I50" s="512"/>
      <c r="J50" s="512"/>
      <c r="K50" s="512"/>
      <c r="L50" s="512"/>
      <c r="M50" s="512"/>
      <c r="N50" s="512"/>
      <c r="O50" s="512"/>
      <c r="P50" s="512"/>
      <c r="Q50" s="512"/>
      <c r="R50" s="513"/>
      <c r="S50" s="46" t="s">
        <v>205</v>
      </c>
      <c r="U50" s="79">
        <f>IF(COUNT(U51:U56)=0,"",SUM(U51:U56))</f>
      </c>
      <c r="AI50" s="1" t="s">
        <v>414</v>
      </c>
    </row>
    <row r="51" spans="2:35" ht="13.5" customHeight="1">
      <c r="B51" s="2"/>
      <c r="C51" s="202" t="s">
        <v>242</v>
      </c>
      <c r="D51" s="514" t="s">
        <v>245</v>
      </c>
      <c r="E51" s="60" t="s">
        <v>201</v>
      </c>
      <c r="F51" s="24"/>
      <c r="G51" s="24"/>
      <c r="H51" s="24"/>
      <c r="I51" s="24"/>
      <c r="J51" s="24"/>
      <c r="K51" s="24"/>
      <c r="L51" s="24"/>
      <c r="M51" s="24"/>
      <c r="N51" s="24"/>
      <c r="O51" s="24"/>
      <c r="P51" s="24"/>
      <c r="Q51" s="24"/>
      <c r="R51" s="25"/>
      <c r="S51" s="245"/>
      <c r="U51" s="79">
        <f>IF(OR(S51="",COUNTA(S53:S56)&gt;0),"",1)</f>
      </c>
      <c r="AI51" s="137" t="s">
        <v>417</v>
      </c>
    </row>
    <row r="52" spans="2:21" ht="13.5" customHeight="1">
      <c r="B52" s="2"/>
      <c r="C52" s="194"/>
      <c r="D52" s="515"/>
      <c r="E52" s="61" t="s">
        <v>461</v>
      </c>
      <c r="F52" s="16"/>
      <c r="G52" s="16"/>
      <c r="H52" s="16"/>
      <c r="I52" s="16"/>
      <c r="J52" s="16"/>
      <c r="K52" s="16"/>
      <c r="L52" s="16"/>
      <c r="M52" s="16"/>
      <c r="N52" s="16"/>
      <c r="O52" s="16"/>
      <c r="P52" s="16"/>
      <c r="Q52" s="16"/>
      <c r="R52" s="17"/>
      <c r="S52" s="246"/>
      <c r="U52" s="79"/>
    </row>
    <row r="53" spans="2:21" ht="18.75" customHeight="1">
      <c r="B53" s="2"/>
      <c r="C53" s="511"/>
      <c r="D53" s="111" t="s">
        <v>206</v>
      </c>
      <c r="E53" s="112" t="s">
        <v>250</v>
      </c>
      <c r="F53" s="113"/>
      <c r="G53" s="113"/>
      <c r="H53" s="113"/>
      <c r="I53" s="113"/>
      <c r="J53" s="113"/>
      <c r="K53" s="113"/>
      <c r="L53" s="113"/>
      <c r="M53" s="113"/>
      <c r="N53" s="113"/>
      <c r="O53" s="113"/>
      <c r="P53" s="113"/>
      <c r="Q53" s="113"/>
      <c r="R53" s="114"/>
      <c r="S53" s="122"/>
      <c r="U53" s="79">
        <f>IF(OR(S53="",COUNTA(S51,S54:S56)&gt;0),"",2)</f>
      </c>
    </row>
    <row r="54" spans="2:21" ht="18.75" customHeight="1">
      <c r="B54" s="2"/>
      <c r="C54" s="202" t="s">
        <v>247</v>
      </c>
      <c r="D54" s="117" t="s">
        <v>246</v>
      </c>
      <c r="E54" s="118" t="s">
        <v>203</v>
      </c>
      <c r="F54" s="100"/>
      <c r="G54" s="100"/>
      <c r="H54" s="100"/>
      <c r="I54" s="100"/>
      <c r="J54" s="100"/>
      <c r="K54" s="100"/>
      <c r="L54" s="100"/>
      <c r="M54" s="100"/>
      <c r="N54" s="100"/>
      <c r="O54" s="100"/>
      <c r="P54" s="100"/>
      <c r="Q54" s="100"/>
      <c r="R54" s="104"/>
      <c r="S54" s="123"/>
      <c r="U54" s="79">
        <f>IF(OR(S54="",COUNTA(S51:S53,S55:S56)&gt;0),"",3)</f>
      </c>
    </row>
    <row r="55" spans="2:21" ht="18.75" customHeight="1">
      <c r="B55" s="2"/>
      <c r="C55" s="196"/>
      <c r="D55" s="110" t="s">
        <v>207</v>
      </c>
      <c r="E55" s="119" t="s">
        <v>251</v>
      </c>
      <c r="F55" s="101"/>
      <c r="G55" s="101"/>
      <c r="H55" s="101"/>
      <c r="I55" s="101"/>
      <c r="J55" s="101"/>
      <c r="K55" s="101"/>
      <c r="L55" s="101"/>
      <c r="M55" s="101"/>
      <c r="N55" s="101"/>
      <c r="O55" s="101"/>
      <c r="P55" s="101"/>
      <c r="Q55" s="101"/>
      <c r="R55" s="106"/>
      <c r="S55" s="41"/>
      <c r="U55" s="79">
        <f>IF(OR(S55="",COUNTA(S51:S54,S56)&gt;0),"",4)</f>
      </c>
    </row>
    <row r="56" spans="2:21" ht="18.75" customHeight="1">
      <c r="B56" s="2"/>
      <c r="C56" s="115" t="s">
        <v>248</v>
      </c>
      <c r="D56" s="116"/>
      <c r="E56" s="62" t="s">
        <v>204</v>
      </c>
      <c r="F56" s="28"/>
      <c r="G56" s="28"/>
      <c r="H56" s="28"/>
      <c r="I56" s="28"/>
      <c r="J56" s="28"/>
      <c r="K56" s="28"/>
      <c r="L56" s="28"/>
      <c r="M56" s="28"/>
      <c r="N56" s="28"/>
      <c r="O56" s="28"/>
      <c r="P56" s="28"/>
      <c r="Q56" s="28"/>
      <c r="R56" s="29"/>
      <c r="S56" s="120"/>
      <c r="U56" s="79">
        <f>IF(OR(S56="",COUNTA(S51:S55)&gt;0),"",5)</f>
      </c>
    </row>
    <row r="57" spans="2:21" ht="18.75" customHeight="1">
      <c r="B57" s="2"/>
      <c r="C57" s="33" t="s">
        <v>357</v>
      </c>
      <c r="D57" s="61"/>
      <c r="E57" s="16"/>
      <c r="F57" s="16"/>
      <c r="G57" s="16"/>
      <c r="H57" s="16"/>
      <c r="I57" s="16"/>
      <c r="J57" s="16"/>
      <c r="K57" s="16"/>
      <c r="L57" s="16"/>
      <c r="M57" s="16"/>
      <c r="N57" s="16"/>
      <c r="O57" s="16"/>
      <c r="P57" s="16"/>
      <c r="Q57" s="16"/>
      <c r="R57" s="16"/>
      <c r="S57" s="2"/>
      <c r="U57" s="79" t="s">
        <v>416</v>
      </c>
    </row>
    <row r="58" spans="2:19" ht="18.75" customHeight="1">
      <c r="B58" s="4" t="s">
        <v>436</v>
      </c>
      <c r="C58" s="7" t="s">
        <v>2</v>
      </c>
      <c r="D58" s="7"/>
      <c r="E58" s="7"/>
      <c r="F58" s="7"/>
      <c r="G58" s="7"/>
      <c r="H58" s="7"/>
      <c r="I58" s="7"/>
      <c r="J58" s="7"/>
      <c r="K58" s="7"/>
      <c r="L58" s="7"/>
      <c r="M58" s="7"/>
      <c r="N58" s="7"/>
      <c r="O58" s="7"/>
      <c r="P58" s="7"/>
      <c r="Q58" s="7"/>
      <c r="R58" s="7"/>
      <c r="S58" s="7"/>
    </row>
    <row r="59" spans="2:19" ht="18.75" customHeight="1">
      <c r="B59" s="7"/>
      <c r="C59" s="284" t="s">
        <v>3</v>
      </c>
      <c r="D59" s="327"/>
      <c r="E59" s="327"/>
      <c r="F59" s="327"/>
      <c r="G59" s="327"/>
      <c r="H59" s="327"/>
      <c r="I59" s="327"/>
      <c r="J59" s="189" t="s">
        <v>74</v>
      </c>
      <c r="K59" s="252"/>
      <c r="L59" s="252"/>
      <c r="M59" s="252"/>
      <c r="N59" s="252"/>
      <c r="O59" s="252"/>
      <c r="P59" s="252"/>
      <c r="Q59" s="253"/>
      <c r="R59" s="327" t="s">
        <v>71</v>
      </c>
      <c r="S59" s="170"/>
    </row>
    <row r="60" spans="2:19" ht="18.75" customHeight="1">
      <c r="B60" s="7"/>
      <c r="C60" s="316" t="s">
        <v>4</v>
      </c>
      <c r="D60" s="330" t="s">
        <v>5</v>
      </c>
      <c r="E60" s="359"/>
      <c r="F60" s="359"/>
      <c r="G60" s="359"/>
      <c r="H60" s="359"/>
      <c r="I60" s="359"/>
      <c r="J60" s="263">
        <v>0.6</v>
      </c>
      <c r="K60" s="264"/>
      <c r="L60" s="264"/>
      <c r="M60" s="264"/>
      <c r="N60" s="264"/>
      <c r="O60" s="264"/>
      <c r="P60" s="264"/>
      <c r="Q60" s="265"/>
      <c r="R60" s="235">
        <f>IF(OR(AND(AND($Q$8="",$Q$12=""),$Q$12=""),$J$30="",$J$31=""),"",0.6)</f>
      </c>
      <c r="S60" s="236"/>
    </row>
    <row r="61" spans="2:19" ht="6" customHeight="1">
      <c r="B61" s="7"/>
      <c r="C61" s="317"/>
      <c r="D61" s="320" t="s">
        <v>6</v>
      </c>
      <c r="E61" s="328"/>
      <c r="F61" s="328"/>
      <c r="G61" s="328"/>
      <c r="H61" s="328"/>
      <c r="I61" s="328"/>
      <c r="J61" s="257" t="s">
        <v>75</v>
      </c>
      <c r="K61" s="260"/>
      <c r="L61" s="260"/>
      <c r="M61" s="260"/>
      <c r="N61" s="315" t="s">
        <v>115</v>
      </c>
      <c r="O61" s="5" t="s">
        <v>180</v>
      </c>
      <c r="P61" s="247"/>
      <c r="Q61" s="248"/>
      <c r="R61" s="301">
        <f>IF(OR(AND($Q$8="",$Q$12=""),$J$30="",$J$31=""),"",ROUND(0.01*SQRT($J$30*$J$31),2))</f>
      </c>
      <c r="S61" s="302"/>
    </row>
    <row r="62" spans="2:19" ht="13.5" customHeight="1">
      <c r="B62" s="7"/>
      <c r="C62" s="317"/>
      <c r="D62" s="329"/>
      <c r="E62" s="328"/>
      <c r="F62" s="328"/>
      <c r="G62" s="328"/>
      <c r="H62" s="328"/>
      <c r="I62" s="328"/>
      <c r="J62" s="261"/>
      <c r="K62" s="262"/>
      <c r="L62" s="262"/>
      <c r="M62" s="262"/>
      <c r="N62" s="315"/>
      <c r="O62" s="8" t="s">
        <v>76</v>
      </c>
      <c r="P62" s="249"/>
      <c r="Q62" s="250"/>
      <c r="R62" s="303"/>
      <c r="S62" s="304"/>
    </row>
    <row r="63" spans="2:19" ht="18.75" customHeight="1">
      <c r="B63" s="7"/>
      <c r="C63" s="318"/>
      <c r="D63" s="360" t="s">
        <v>7</v>
      </c>
      <c r="E63" s="361"/>
      <c r="F63" s="361"/>
      <c r="G63" s="361"/>
      <c r="H63" s="361"/>
      <c r="I63" s="361"/>
      <c r="J63" s="266">
        <v>0.6</v>
      </c>
      <c r="K63" s="267"/>
      <c r="L63" s="267"/>
      <c r="M63" s="267"/>
      <c r="N63" s="267"/>
      <c r="O63" s="267"/>
      <c r="P63" s="267"/>
      <c r="Q63" s="268"/>
      <c r="R63" s="299">
        <f>IF(OR(AND($Q$8="",$Q$12=""),$J$30="",$J$31=""),"",0.6)</f>
      </c>
      <c r="S63" s="300"/>
    </row>
    <row r="64" spans="2:19" ht="6" customHeight="1">
      <c r="B64" s="7"/>
      <c r="C64" s="317" t="s">
        <v>8</v>
      </c>
      <c r="D64" s="330" t="s">
        <v>77</v>
      </c>
      <c r="E64" s="331"/>
      <c r="F64" s="331"/>
      <c r="G64" s="331"/>
      <c r="H64" s="331"/>
      <c r="I64" s="331"/>
      <c r="J64" s="254" t="s">
        <v>78</v>
      </c>
      <c r="K64" s="332"/>
      <c r="L64" s="332"/>
      <c r="M64" s="332"/>
      <c r="N64" s="319" t="s">
        <v>116</v>
      </c>
      <c r="O64" s="6" t="s">
        <v>180</v>
      </c>
      <c r="P64" s="6"/>
      <c r="Q64" s="365"/>
      <c r="R64" s="235">
        <f>IF(OR(AND($Q$8="",$Q$12=""),$J$30="",$J$31=""),"",ROUND(0.02*SQRT($J$30*$J$31),2))</f>
      </c>
      <c r="S64" s="236"/>
    </row>
    <row r="65" spans="2:19" ht="13.5" customHeight="1">
      <c r="B65" s="7"/>
      <c r="C65" s="317"/>
      <c r="D65" s="329"/>
      <c r="E65" s="328"/>
      <c r="F65" s="328"/>
      <c r="G65" s="328"/>
      <c r="H65" s="328"/>
      <c r="I65" s="328"/>
      <c r="J65" s="261"/>
      <c r="K65" s="262"/>
      <c r="L65" s="262"/>
      <c r="M65" s="262"/>
      <c r="N65" s="315"/>
      <c r="O65" s="8" t="s">
        <v>79</v>
      </c>
      <c r="P65" s="8"/>
      <c r="Q65" s="366"/>
      <c r="R65" s="307"/>
      <c r="S65" s="308"/>
    </row>
    <row r="66" spans="2:19" ht="6" customHeight="1">
      <c r="B66" s="7"/>
      <c r="C66" s="317"/>
      <c r="D66" s="320" t="s">
        <v>80</v>
      </c>
      <c r="E66" s="328"/>
      <c r="F66" s="328"/>
      <c r="G66" s="328"/>
      <c r="H66" s="328"/>
      <c r="I66" s="328"/>
      <c r="J66" s="322" t="s">
        <v>81</v>
      </c>
      <c r="K66" s="323"/>
      <c r="L66" s="323"/>
      <c r="M66" s="323"/>
      <c r="N66" s="315" t="s">
        <v>116</v>
      </c>
      <c r="O66" s="5" t="s">
        <v>180</v>
      </c>
      <c r="P66" s="247"/>
      <c r="Q66" s="248"/>
      <c r="R66" s="307">
        <f>IF(OR(AND($Q$8="",$Q$12=""),$J$30="",$J$31=""),"",ROUND(0.05*SQRT($J$30*$J$31),2))</f>
      </c>
      <c r="S66" s="308"/>
    </row>
    <row r="67" spans="2:19" ht="13.5" customHeight="1">
      <c r="B67" s="7"/>
      <c r="C67" s="317"/>
      <c r="D67" s="329"/>
      <c r="E67" s="328"/>
      <c r="F67" s="328"/>
      <c r="G67" s="328"/>
      <c r="H67" s="328"/>
      <c r="I67" s="328"/>
      <c r="J67" s="324"/>
      <c r="K67" s="325"/>
      <c r="L67" s="325"/>
      <c r="M67" s="325"/>
      <c r="N67" s="315"/>
      <c r="O67" s="8" t="s">
        <v>79</v>
      </c>
      <c r="P67" s="249"/>
      <c r="Q67" s="250"/>
      <c r="R67" s="307"/>
      <c r="S67" s="308"/>
    </row>
    <row r="68" spans="2:19" ht="6" customHeight="1">
      <c r="B68" s="7"/>
      <c r="C68" s="317"/>
      <c r="D68" s="320" t="s">
        <v>82</v>
      </c>
      <c r="E68" s="328"/>
      <c r="F68" s="328"/>
      <c r="G68" s="328"/>
      <c r="H68" s="328"/>
      <c r="I68" s="328"/>
      <c r="J68" s="410" t="s">
        <v>78</v>
      </c>
      <c r="K68" s="323"/>
      <c r="L68" s="323"/>
      <c r="M68" s="323"/>
      <c r="N68" s="315" t="s">
        <v>116</v>
      </c>
      <c r="O68" s="5" t="s">
        <v>83</v>
      </c>
      <c r="P68" s="247"/>
      <c r="Q68" s="248"/>
      <c r="R68" s="307">
        <f>IF(OR(AND($Q$8="",$Q$12=""),$J$30="",$J$31=""),"",ROUND(0.02*SQRT($J$30),2))</f>
      </c>
      <c r="S68" s="308"/>
    </row>
    <row r="69" spans="2:19" ht="13.5" customHeight="1">
      <c r="B69" s="7"/>
      <c r="C69" s="317"/>
      <c r="D69" s="329"/>
      <c r="E69" s="328"/>
      <c r="F69" s="328"/>
      <c r="G69" s="328"/>
      <c r="H69" s="328"/>
      <c r="I69" s="328"/>
      <c r="J69" s="324"/>
      <c r="K69" s="325"/>
      <c r="L69" s="325"/>
      <c r="M69" s="325"/>
      <c r="N69" s="315"/>
      <c r="O69" s="9" t="s">
        <v>84</v>
      </c>
      <c r="P69" s="249"/>
      <c r="Q69" s="250"/>
      <c r="R69" s="307"/>
      <c r="S69" s="308"/>
    </row>
    <row r="70" spans="2:19" ht="18.75" customHeight="1">
      <c r="B70" s="7"/>
      <c r="C70" s="317"/>
      <c r="D70" s="320" t="s">
        <v>85</v>
      </c>
      <c r="E70" s="321"/>
      <c r="F70" s="321"/>
      <c r="G70" s="321"/>
      <c r="H70" s="321"/>
      <c r="I70" s="321"/>
      <c r="J70" s="269">
        <v>0.6</v>
      </c>
      <c r="K70" s="270"/>
      <c r="L70" s="270"/>
      <c r="M70" s="270"/>
      <c r="N70" s="270"/>
      <c r="O70" s="270"/>
      <c r="P70" s="270"/>
      <c r="Q70" s="271"/>
      <c r="R70" s="307">
        <f>IF(OR(AND($Q$8="",$Q$12=""),$J$30="",$J$31=""),"",0.6)</f>
      </c>
      <c r="S70" s="308"/>
    </row>
    <row r="71" spans="2:19" ht="18.75" customHeight="1">
      <c r="B71" s="7"/>
      <c r="C71" s="317"/>
      <c r="D71" s="320" t="s">
        <v>86</v>
      </c>
      <c r="E71" s="321"/>
      <c r="F71" s="321"/>
      <c r="G71" s="321"/>
      <c r="H71" s="321"/>
      <c r="I71" s="321"/>
      <c r="J71" s="269">
        <v>0.6</v>
      </c>
      <c r="K71" s="270"/>
      <c r="L71" s="270"/>
      <c r="M71" s="270"/>
      <c r="N71" s="270"/>
      <c r="O71" s="270"/>
      <c r="P71" s="270"/>
      <c r="Q71" s="271"/>
      <c r="R71" s="307">
        <f>IF(OR(AND($Q$8="",$Q$12=""),$J$30="",$J$31=""),"",0.6)</f>
      </c>
      <c r="S71" s="308"/>
    </row>
    <row r="72" spans="2:19" ht="6" customHeight="1">
      <c r="B72" s="7"/>
      <c r="C72" s="317"/>
      <c r="D72" s="320" t="s">
        <v>87</v>
      </c>
      <c r="E72" s="328"/>
      <c r="F72" s="328"/>
      <c r="G72" s="328"/>
      <c r="H72" s="328"/>
      <c r="I72" s="328"/>
      <c r="J72" s="257" t="s">
        <v>88</v>
      </c>
      <c r="K72" s="260"/>
      <c r="L72" s="260"/>
      <c r="M72" s="260"/>
      <c r="N72" s="315" t="s">
        <v>116</v>
      </c>
      <c r="O72" s="5" t="s">
        <v>180</v>
      </c>
      <c r="P72" s="247"/>
      <c r="Q72" s="272"/>
      <c r="R72" s="307">
        <f>IF(OR(AND($Q$8="",$Q$12=""),$J$30="",$J$31=""),"",ROUND(0.01*SQRT($J$30*$J$31),2))</f>
      </c>
      <c r="S72" s="308"/>
    </row>
    <row r="73" spans="2:19" ht="13.5" customHeight="1">
      <c r="B73" s="7"/>
      <c r="C73" s="317"/>
      <c r="D73" s="357"/>
      <c r="E73" s="358"/>
      <c r="F73" s="358"/>
      <c r="G73" s="358"/>
      <c r="H73" s="358"/>
      <c r="I73" s="358"/>
      <c r="J73" s="399"/>
      <c r="K73" s="400"/>
      <c r="L73" s="400"/>
      <c r="M73" s="400"/>
      <c r="N73" s="326"/>
      <c r="O73" s="10" t="s">
        <v>79</v>
      </c>
      <c r="P73" s="273"/>
      <c r="Q73" s="274"/>
      <c r="R73" s="299"/>
      <c r="S73" s="300"/>
    </row>
    <row r="74" spans="2:19" ht="6" customHeight="1">
      <c r="B74" s="7"/>
      <c r="C74" s="377" t="s">
        <v>13</v>
      </c>
      <c r="D74" s="330" t="s">
        <v>89</v>
      </c>
      <c r="E74" s="331"/>
      <c r="F74" s="331"/>
      <c r="G74" s="331"/>
      <c r="H74" s="331"/>
      <c r="I74" s="331"/>
      <c r="J74" s="395" t="s">
        <v>181</v>
      </c>
      <c r="K74" s="264"/>
      <c r="L74" s="264"/>
      <c r="M74" s="264"/>
      <c r="N74" s="319" t="s">
        <v>116</v>
      </c>
      <c r="O74" s="6" t="s">
        <v>180</v>
      </c>
      <c r="P74" s="408"/>
      <c r="Q74" s="409"/>
      <c r="R74" s="235">
        <f>IF(OR(AND($Q$8="",$Q$12=""),$J$30="",$J$31=""),"",ROUND(0.04*SQRT($J$30*$J$31),2))</f>
      </c>
      <c r="S74" s="236"/>
    </row>
    <row r="75" spans="2:19" ht="13.5" customHeight="1">
      <c r="B75" s="7"/>
      <c r="C75" s="378"/>
      <c r="D75" s="329"/>
      <c r="E75" s="328"/>
      <c r="F75" s="328"/>
      <c r="G75" s="328"/>
      <c r="H75" s="328"/>
      <c r="I75" s="328"/>
      <c r="J75" s="396"/>
      <c r="K75" s="270"/>
      <c r="L75" s="270"/>
      <c r="M75" s="270"/>
      <c r="N75" s="315"/>
      <c r="O75" s="8" t="s">
        <v>79</v>
      </c>
      <c r="P75" s="249"/>
      <c r="Q75" s="272"/>
      <c r="R75" s="307"/>
      <c r="S75" s="308"/>
    </row>
    <row r="76" spans="2:19" ht="18.75" customHeight="1">
      <c r="B76" s="7"/>
      <c r="C76" s="378"/>
      <c r="D76" s="320" t="s">
        <v>9</v>
      </c>
      <c r="E76" s="321"/>
      <c r="F76" s="321"/>
      <c r="G76" s="321"/>
      <c r="H76" s="321"/>
      <c r="I76" s="321"/>
      <c r="J76" s="269">
        <v>0.5</v>
      </c>
      <c r="K76" s="270"/>
      <c r="L76" s="270"/>
      <c r="M76" s="270"/>
      <c r="N76" s="270"/>
      <c r="O76" s="270"/>
      <c r="P76" s="270"/>
      <c r="Q76" s="271"/>
      <c r="R76" s="307">
        <f>IF(OR(AND($Q$8="",$Q$12=""),$J$30="",$J$31=""),"",0.5)</f>
      </c>
      <c r="S76" s="308"/>
    </row>
    <row r="77" spans="2:19" ht="18.75" customHeight="1">
      <c r="B77" s="7"/>
      <c r="C77" s="378"/>
      <c r="D77" s="350" t="s">
        <v>10</v>
      </c>
      <c r="E77" s="351"/>
      <c r="F77" s="351"/>
      <c r="G77" s="351"/>
      <c r="H77" s="351"/>
      <c r="I77" s="351"/>
      <c r="J77" s="269" t="s">
        <v>31</v>
      </c>
      <c r="K77" s="270"/>
      <c r="L77" s="270"/>
      <c r="M77" s="270"/>
      <c r="N77" s="270"/>
      <c r="O77" s="270"/>
      <c r="P77" s="270"/>
      <c r="Q77" s="271"/>
      <c r="R77" s="313">
        <f>IF(OR(AND($Q$8="",$Q$12=""),$J$30="",$J$31=""),"","－")</f>
      </c>
      <c r="S77" s="314"/>
    </row>
    <row r="78" spans="2:19" ht="18.75" customHeight="1">
      <c r="B78" s="7"/>
      <c r="C78" s="378"/>
      <c r="D78" s="350" t="s">
        <v>11</v>
      </c>
      <c r="E78" s="351"/>
      <c r="F78" s="351"/>
      <c r="G78" s="351"/>
      <c r="H78" s="351"/>
      <c r="I78" s="351"/>
      <c r="J78" s="269" t="s">
        <v>31</v>
      </c>
      <c r="K78" s="270"/>
      <c r="L78" s="270"/>
      <c r="M78" s="270"/>
      <c r="N78" s="270"/>
      <c r="O78" s="270"/>
      <c r="P78" s="270"/>
      <c r="Q78" s="271"/>
      <c r="R78" s="313">
        <f>IF(OR(AND($Q$8="",$Q$12=""),$J$30="",$J$31=""),"","－")</f>
      </c>
      <c r="S78" s="314"/>
    </row>
    <row r="79" spans="2:19" ht="18.75" customHeight="1">
      <c r="B79" s="7"/>
      <c r="C79" s="378"/>
      <c r="D79" s="350" t="s">
        <v>12</v>
      </c>
      <c r="E79" s="351"/>
      <c r="F79" s="351"/>
      <c r="G79" s="351"/>
      <c r="H79" s="351"/>
      <c r="I79" s="351"/>
      <c r="J79" s="269" t="s">
        <v>31</v>
      </c>
      <c r="K79" s="270"/>
      <c r="L79" s="270"/>
      <c r="M79" s="270"/>
      <c r="N79" s="270"/>
      <c r="O79" s="270"/>
      <c r="P79" s="270"/>
      <c r="Q79" s="271"/>
      <c r="R79" s="313">
        <f>IF(OR(AND($Q$8="",$Q$12=""),$J$30="",$J$31=""),"","－")</f>
      </c>
      <c r="S79" s="314"/>
    </row>
    <row r="80" spans="2:19" ht="6" customHeight="1">
      <c r="B80" s="7"/>
      <c r="C80" s="378"/>
      <c r="D80" s="320" t="s">
        <v>90</v>
      </c>
      <c r="E80" s="328"/>
      <c r="F80" s="328"/>
      <c r="G80" s="328"/>
      <c r="H80" s="328"/>
      <c r="I80" s="328"/>
      <c r="J80" s="397" t="s">
        <v>181</v>
      </c>
      <c r="K80" s="270"/>
      <c r="L80" s="270"/>
      <c r="M80" s="270"/>
      <c r="N80" s="315" t="s">
        <v>117</v>
      </c>
      <c r="O80" s="5" t="s">
        <v>180</v>
      </c>
      <c r="P80" s="247"/>
      <c r="Q80" s="248"/>
      <c r="R80" s="307">
        <f>IF(OR(AND($Q$8="",$Q$12=""),$J$30="",$J$31=""),"",ROUND(0.04*SQRT($J$30*$J$31),2))</f>
      </c>
      <c r="S80" s="308"/>
    </row>
    <row r="81" spans="2:19" ht="13.5" customHeight="1">
      <c r="B81" s="7"/>
      <c r="C81" s="379"/>
      <c r="D81" s="381"/>
      <c r="E81" s="382"/>
      <c r="F81" s="382"/>
      <c r="G81" s="382"/>
      <c r="H81" s="382"/>
      <c r="I81" s="382"/>
      <c r="J81" s="398"/>
      <c r="K81" s="260"/>
      <c r="L81" s="260"/>
      <c r="M81" s="260"/>
      <c r="N81" s="222"/>
      <c r="O81" s="11" t="s">
        <v>91</v>
      </c>
      <c r="P81" s="355"/>
      <c r="Q81" s="391"/>
      <c r="R81" s="309"/>
      <c r="S81" s="310"/>
    </row>
    <row r="82" spans="2:19" ht="6" customHeight="1">
      <c r="B82" s="7"/>
      <c r="C82" s="380" t="s">
        <v>335</v>
      </c>
      <c r="D82" s="393" t="s">
        <v>336</v>
      </c>
      <c r="E82" s="255"/>
      <c r="F82" s="255"/>
      <c r="G82" s="385" t="s">
        <v>68</v>
      </c>
      <c r="H82" s="255"/>
      <c r="I82" s="386"/>
      <c r="J82" s="254" t="s">
        <v>92</v>
      </c>
      <c r="K82" s="255"/>
      <c r="L82" s="255"/>
      <c r="M82" s="255"/>
      <c r="N82" s="319" t="s">
        <v>118</v>
      </c>
      <c r="O82" s="6" t="s">
        <v>180</v>
      </c>
      <c r="P82" s="408" t="s">
        <v>184</v>
      </c>
      <c r="Q82" s="386"/>
      <c r="R82" s="311">
        <f>IF(OR(AND($Q$8="",$Q$12=""),COUNTA($F$9,$F$10,$G$33,$N$33)&lt;4),"",IF(U33=2,"　　　 －",ROUND((3+0.1*SQRT($J$30*$J$31))*$G$33,2)))</f>
      </c>
      <c r="S82" s="312"/>
    </row>
    <row r="83" spans="2:19" ht="13.5" customHeight="1">
      <c r="B83" s="7"/>
      <c r="C83" s="317"/>
      <c r="D83" s="354"/>
      <c r="E83" s="355"/>
      <c r="F83" s="355"/>
      <c r="G83" s="387"/>
      <c r="H83" s="249"/>
      <c r="I83" s="250"/>
      <c r="J83" s="256"/>
      <c r="K83" s="249"/>
      <c r="L83" s="249"/>
      <c r="M83" s="249"/>
      <c r="N83" s="315"/>
      <c r="O83" s="8" t="s">
        <v>93</v>
      </c>
      <c r="P83" s="249"/>
      <c r="Q83" s="250"/>
      <c r="R83" s="303"/>
      <c r="S83" s="304"/>
    </row>
    <row r="84" spans="2:19" ht="6" customHeight="1">
      <c r="B84" s="7"/>
      <c r="C84" s="317"/>
      <c r="D84" s="354"/>
      <c r="E84" s="355"/>
      <c r="F84" s="355"/>
      <c r="G84" s="388" t="s">
        <v>69</v>
      </c>
      <c r="H84" s="258"/>
      <c r="I84" s="248"/>
      <c r="J84" s="257" t="s">
        <v>92</v>
      </c>
      <c r="K84" s="258"/>
      <c r="L84" s="258"/>
      <c r="M84" s="258"/>
      <c r="N84" s="315" t="s">
        <v>118</v>
      </c>
      <c r="O84" s="5" t="s">
        <v>180</v>
      </c>
      <c r="P84" s="247" t="s">
        <v>185</v>
      </c>
      <c r="Q84" s="248"/>
      <c r="R84" s="301">
        <f>IF(OR(AND($Q$8="",$Q$12=""),COUNTA($F$9,$F$10,$G$33,$N$33)&lt;4),"",IF(U33=1,"　　　 －",ROUND((3+0.1*SQRT($J$30*$J$31))*$G$33*1.5,2)))</f>
      </c>
      <c r="S84" s="302"/>
    </row>
    <row r="85" spans="2:19" ht="13.5" customHeight="1">
      <c r="B85" s="7"/>
      <c r="C85" s="317"/>
      <c r="D85" s="256"/>
      <c r="E85" s="249"/>
      <c r="F85" s="249"/>
      <c r="G85" s="387"/>
      <c r="H85" s="249"/>
      <c r="I85" s="250"/>
      <c r="J85" s="256"/>
      <c r="K85" s="249"/>
      <c r="L85" s="249"/>
      <c r="M85" s="249"/>
      <c r="N85" s="315"/>
      <c r="O85" s="8" t="s">
        <v>93</v>
      </c>
      <c r="P85" s="249"/>
      <c r="Q85" s="250"/>
      <c r="R85" s="303"/>
      <c r="S85" s="304"/>
    </row>
    <row r="86" spans="2:19" ht="6" customHeight="1">
      <c r="B86" s="7"/>
      <c r="C86" s="317"/>
      <c r="D86" s="353" t="s">
        <v>337</v>
      </c>
      <c r="E86" s="258"/>
      <c r="F86" s="258"/>
      <c r="G86" s="389" t="s">
        <v>68</v>
      </c>
      <c r="H86" s="258"/>
      <c r="I86" s="248"/>
      <c r="J86" s="259" t="s">
        <v>94</v>
      </c>
      <c r="K86" s="258"/>
      <c r="L86" s="258"/>
      <c r="M86" s="258"/>
      <c r="N86" s="315" t="s">
        <v>118</v>
      </c>
      <c r="O86" s="5" t="s">
        <v>180</v>
      </c>
      <c r="P86" s="251" t="s">
        <v>182</v>
      </c>
      <c r="Q86" s="248"/>
      <c r="R86" s="301">
        <f>IF(OR(AND($Q$8="",$Q$12=""),COUNTA($F$9,$F$10,$N$33)&lt;3),"",IF(U33=2,"　　　 －",2+ROUND(0.1*SQRT($J$30*$J$31),2)))</f>
      </c>
      <c r="S86" s="302"/>
    </row>
    <row r="87" spans="2:19" ht="13.5" customHeight="1">
      <c r="B87" s="7"/>
      <c r="C87" s="317"/>
      <c r="D87" s="354"/>
      <c r="E87" s="355"/>
      <c r="F87" s="355"/>
      <c r="G87" s="387"/>
      <c r="H87" s="249"/>
      <c r="I87" s="250"/>
      <c r="J87" s="256"/>
      <c r="K87" s="249"/>
      <c r="L87" s="249"/>
      <c r="M87" s="249"/>
      <c r="N87" s="315"/>
      <c r="O87" s="8" t="s">
        <v>93</v>
      </c>
      <c r="P87" s="249"/>
      <c r="Q87" s="250"/>
      <c r="R87" s="303"/>
      <c r="S87" s="304"/>
    </row>
    <row r="88" spans="2:19" ht="6" customHeight="1">
      <c r="B88" s="7"/>
      <c r="C88" s="317"/>
      <c r="D88" s="354"/>
      <c r="E88" s="355"/>
      <c r="F88" s="355"/>
      <c r="G88" s="389" t="s">
        <v>69</v>
      </c>
      <c r="H88" s="258"/>
      <c r="I88" s="248"/>
      <c r="J88" s="259" t="s">
        <v>94</v>
      </c>
      <c r="K88" s="258"/>
      <c r="L88" s="258"/>
      <c r="M88" s="258"/>
      <c r="N88" s="315" t="s">
        <v>118</v>
      </c>
      <c r="O88" s="5" t="s">
        <v>180</v>
      </c>
      <c r="P88" s="247" t="s">
        <v>183</v>
      </c>
      <c r="Q88" s="248"/>
      <c r="R88" s="301">
        <f>IF(OR(AND($Q$8="",$Q$12=""),COUNTA($F$9,$F$10,$N$33)&lt;3),"",IF(U33=1,"　　　 －",2+ROUND(0.1*SQRT($J$30*$J$31),2)))</f>
      </c>
      <c r="S88" s="302"/>
    </row>
    <row r="89" spans="2:19" ht="13.5" customHeight="1">
      <c r="B89" s="7"/>
      <c r="C89" s="317"/>
      <c r="D89" s="354"/>
      <c r="E89" s="355"/>
      <c r="F89" s="355"/>
      <c r="G89" s="390"/>
      <c r="H89" s="355"/>
      <c r="I89" s="391"/>
      <c r="J89" s="354"/>
      <c r="K89" s="355"/>
      <c r="L89" s="355"/>
      <c r="M89" s="355"/>
      <c r="N89" s="222"/>
      <c r="O89" s="11" t="s">
        <v>93</v>
      </c>
      <c r="P89" s="355"/>
      <c r="Q89" s="391"/>
      <c r="R89" s="425"/>
      <c r="S89" s="426"/>
    </row>
    <row r="90" spans="2:19" ht="18.75" customHeight="1">
      <c r="B90" s="7"/>
      <c r="C90" s="305" t="s">
        <v>15</v>
      </c>
      <c r="D90" s="306"/>
      <c r="E90" s="306"/>
      <c r="F90" s="306"/>
      <c r="G90" s="306"/>
      <c r="H90" s="306"/>
      <c r="I90" s="306"/>
      <c r="J90" s="305" t="s">
        <v>114</v>
      </c>
      <c r="K90" s="306"/>
      <c r="L90" s="306"/>
      <c r="M90" s="306"/>
      <c r="N90" s="306"/>
      <c r="O90" s="306"/>
      <c r="P90" s="306"/>
      <c r="Q90" s="407"/>
      <c r="R90" s="419">
        <f>IF(COUNT(R60:S89)&lt;14,"",ROUND(SUM(R60:S89),0))</f>
      </c>
      <c r="S90" s="420"/>
    </row>
    <row r="91" spans="2:19" ht="18.75" customHeight="1">
      <c r="B91" s="7"/>
      <c r="C91" s="393" t="s">
        <v>421</v>
      </c>
      <c r="D91" s="394"/>
      <c r="E91" s="394"/>
      <c r="F91" s="394"/>
      <c r="G91" s="394"/>
      <c r="H91" s="394"/>
      <c r="I91" s="394"/>
      <c r="J91" s="393" t="s">
        <v>422</v>
      </c>
      <c r="K91" s="394"/>
      <c r="L91" s="394"/>
      <c r="M91" s="394"/>
      <c r="N91" s="394"/>
      <c r="O91" s="394"/>
      <c r="P91" s="394"/>
      <c r="Q91" s="416"/>
      <c r="R91" s="423">
        <f>IF(AND(Q12="",R90=""),"",IF(Q8&lt;&gt;"","　　　　－",ROUND(R90*0.5,0)))</f>
      </c>
      <c r="S91" s="424"/>
    </row>
    <row r="92" spans="2:19" ht="18.75" customHeight="1">
      <c r="B92" s="7"/>
      <c r="C92" s="485" t="s">
        <v>95</v>
      </c>
      <c r="D92" s="486"/>
      <c r="E92" s="486"/>
      <c r="F92" s="486"/>
      <c r="G92" s="486"/>
      <c r="H92" s="486"/>
      <c r="I92" s="486"/>
      <c r="J92" s="320" t="s">
        <v>299</v>
      </c>
      <c r="K92" s="486"/>
      <c r="L92" s="486"/>
      <c r="M92" s="486"/>
      <c r="N92" s="486"/>
      <c r="O92" s="486"/>
      <c r="P92" s="486"/>
      <c r="Q92" s="487"/>
      <c r="R92" s="417">
        <f>IF(AND(Q8="",R161=""),"",IF(R161="","　　　　－",R161))</f>
      </c>
      <c r="S92" s="418"/>
    </row>
    <row r="93" spans="2:19" ht="18.75" customHeight="1">
      <c r="B93" s="7"/>
      <c r="C93" s="305" t="s">
        <v>423</v>
      </c>
      <c r="D93" s="306"/>
      <c r="E93" s="306"/>
      <c r="F93" s="306"/>
      <c r="G93" s="306"/>
      <c r="H93" s="306"/>
      <c r="I93" s="306"/>
      <c r="J93" s="305" t="s">
        <v>425</v>
      </c>
      <c r="K93" s="306"/>
      <c r="L93" s="306"/>
      <c r="M93" s="306"/>
      <c r="N93" s="306"/>
      <c r="O93" s="306"/>
      <c r="P93" s="306"/>
      <c r="Q93" s="407"/>
      <c r="R93" s="419">
        <f>IF(OR(R90="",R92=""),"",IF(R92="　　　　－","　　　　－",SUM(R91:S92)))</f>
      </c>
      <c r="S93" s="420"/>
    </row>
    <row r="94" spans="2:19" ht="18.75" customHeight="1" thickBot="1">
      <c r="B94" s="7"/>
      <c r="C94" s="337" t="s">
        <v>14</v>
      </c>
      <c r="D94" s="338"/>
      <c r="E94" s="338"/>
      <c r="F94" s="338"/>
      <c r="G94" s="338"/>
      <c r="H94" s="338"/>
      <c r="I94" s="339"/>
      <c r="J94" s="243"/>
      <c r="K94" s="244"/>
      <c r="L94" s="244"/>
      <c r="M94" s="244"/>
      <c r="N94" s="244"/>
      <c r="O94" s="244"/>
      <c r="P94" s="244"/>
      <c r="Q94" s="244"/>
      <c r="R94" s="427">
        <f>IF(OR(R90="",R93=""),"",IF(Q8="",R93,SUM(R90,R93)))</f>
      </c>
      <c r="S94" s="428"/>
    </row>
    <row r="95" spans="2:19" ht="18.75" customHeight="1" thickTop="1">
      <c r="B95" s="7"/>
      <c r="C95" s="31" t="s">
        <v>178</v>
      </c>
      <c r="D95" s="7" t="s">
        <v>179</v>
      </c>
      <c r="E95" s="7"/>
      <c r="F95" s="7"/>
      <c r="G95" s="7"/>
      <c r="H95" s="7"/>
      <c r="I95" s="7"/>
      <c r="J95" s="7"/>
      <c r="K95" s="7"/>
      <c r="L95" s="7"/>
      <c r="M95" s="7"/>
      <c r="N95" s="7"/>
      <c r="O95" s="7"/>
      <c r="P95" s="7"/>
      <c r="Q95" s="7"/>
      <c r="R95" s="49"/>
      <c r="S95" s="49"/>
    </row>
    <row r="96" spans="2:19" ht="21" customHeight="1">
      <c r="B96" s="7" t="s">
        <v>34</v>
      </c>
      <c r="C96" s="4" t="s">
        <v>35</v>
      </c>
      <c r="D96" s="4"/>
      <c r="E96" s="4"/>
      <c r="F96" s="4"/>
      <c r="G96" s="4"/>
      <c r="H96" s="4"/>
      <c r="I96" s="4"/>
      <c r="J96" s="4"/>
      <c r="K96" s="7"/>
      <c r="L96" s="7"/>
      <c r="M96" s="7"/>
      <c r="N96" s="7"/>
      <c r="O96" s="7"/>
      <c r="P96" s="7"/>
      <c r="Q96" s="7"/>
      <c r="R96" s="7"/>
      <c r="S96" s="7"/>
    </row>
    <row r="97" spans="2:19" ht="9.75" customHeight="1">
      <c r="B97" s="7"/>
      <c r="C97" s="7"/>
      <c r="D97" s="7"/>
      <c r="E97" s="7"/>
      <c r="F97" s="7"/>
      <c r="G97" s="7"/>
      <c r="H97" s="7"/>
      <c r="I97" s="7"/>
      <c r="J97" s="7"/>
      <c r="K97" s="7"/>
      <c r="L97" s="7"/>
      <c r="M97" s="7"/>
      <c r="N97" s="7"/>
      <c r="O97" s="7"/>
      <c r="P97" s="7"/>
      <c r="Q97" s="7"/>
      <c r="R97" s="7"/>
      <c r="S97" s="7"/>
    </row>
    <row r="98" spans="2:19" ht="21" customHeight="1">
      <c r="B98" s="30" t="s">
        <v>36</v>
      </c>
      <c r="C98" s="4" t="s">
        <v>455</v>
      </c>
      <c r="D98" s="4"/>
      <c r="E98" s="4"/>
      <c r="F98" s="4"/>
      <c r="G98" s="4"/>
      <c r="H98" s="4"/>
      <c r="I98" s="4"/>
      <c r="J98" s="4"/>
      <c r="K98" s="7"/>
      <c r="L98" s="7"/>
      <c r="M98" s="7"/>
      <c r="N98" s="7"/>
      <c r="O98" s="7"/>
      <c r="P98" s="7"/>
      <c r="Q98" s="7"/>
      <c r="R98" s="7"/>
      <c r="S98" s="7"/>
    </row>
    <row r="99" spans="2:35" ht="21" customHeight="1">
      <c r="B99" s="7"/>
      <c r="C99" s="237" t="s">
        <v>37</v>
      </c>
      <c r="D99" s="237"/>
      <c r="E99" s="237"/>
      <c r="F99" s="237"/>
      <c r="G99" s="356"/>
      <c r="H99" s="237" t="s">
        <v>99</v>
      </c>
      <c r="I99" s="237"/>
      <c r="J99" s="237"/>
      <c r="K99" s="284" t="s">
        <v>100</v>
      </c>
      <c r="L99" s="386"/>
      <c r="M99" s="237" t="s">
        <v>101</v>
      </c>
      <c r="N99" s="237"/>
      <c r="O99" s="237"/>
      <c r="P99" s="237" t="s">
        <v>102</v>
      </c>
      <c r="Q99" s="237"/>
      <c r="R99" s="237"/>
      <c r="S99" s="7"/>
      <c r="AI99" s="133" t="s">
        <v>432</v>
      </c>
    </row>
    <row r="100" spans="2:35" ht="21" customHeight="1">
      <c r="B100" s="7"/>
      <c r="C100" s="370" t="s">
        <v>38</v>
      </c>
      <c r="D100" s="370"/>
      <c r="E100" s="370"/>
      <c r="F100" s="370"/>
      <c r="G100" s="392"/>
      <c r="H100" s="202" t="s">
        <v>105</v>
      </c>
      <c r="I100" s="202"/>
      <c r="J100" s="202"/>
      <c r="K100" s="263">
        <v>3</v>
      </c>
      <c r="L100" s="409"/>
      <c r="M100" s="421">
        <v>16100</v>
      </c>
      <c r="N100" s="421"/>
      <c r="O100" s="421"/>
      <c r="P100" s="415">
        <f>IF(M100="","",K100*M100)</f>
        <v>48300</v>
      </c>
      <c r="Q100" s="415"/>
      <c r="R100" s="415"/>
      <c r="S100" s="7"/>
      <c r="AI100" s="1" t="s">
        <v>433</v>
      </c>
    </row>
    <row r="101" spans="2:19" ht="21" customHeight="1">
      <c r="B101" s="7"/>
      <c r="C101" s="280" t="s">
        <v>39</v>
      </c>
      <c r="D101" s="280"/>
      <c r="E101" s="280"/>
      <c r="F101" s="280"/>
      <c r="G101" s="341"/>
      <c r="H101" s="194" t="s">
        <v>122</v>
      </c>
      <c r="I101" s="194"/>
      <c r="J101" s="194"/>
      <c r="K101" s="194">
        <v>3</v>
      </c>
      <c r="L101" s="232"/>
      <c r="M101" s="233">
        <v>4600</v>
      </c>
      <c r="N101" s="233"/>
      <c r="O101" s="233"/>
      <c r="P101" s="231">
        <f>IF(M101="","",K101*M101)</f>
        <v>13800</v>
      </c>
      <c r="Q101" s="231"/>
      <c r="R101" s="231"/>
      <c r="S101" s="7"/>
    </row>
    <row r="102" spans="2:19" ht="21" customHeight="1">
      <c r="B102" s="7"/>
      <c r="C102" s="280" t="s">
        <v>40</v>
      </c>
      <c r="D102" s="280"/>
      <c r="E102" s="280"/>
      <c r="F102" s="280"/>
      <c r="G102" s="341"/>
      <c r="H102" s="194" t="s">
        <v>122</v>
      </c>
      <c r="I102" s="194"/>
      <c r="J102" s="194"/>
      <c r="K102" s="194">
        <v>3</v>
      </c>
      <c r="L102" s="232"/>
      <c r="M102" s="233">
        <v>3200</v>
      </c>
      <c r="N102" s="233"/>
      <c r="O102" s="233"/>
      <c r="P102" s="231">
        <f>IF(M102="","",K102*M102)</f>
        <v>9600</v>
      </c>
      <c r="Q102" s="231"/>
      <c r="R102" s="231"/>
      <c r="S102" s="7"/>
    </row>
    <row r="103" spans="2:19" ht="21" customHeight="1">
      <c r="B103" s="7"/>
      <c r="C103" s="280" t="s">
        <v>41</v>
      </c>
      <c r="D103" s="280"/>
      <c r="E103" s="280"/>
      <c r="F103" s="280"/>
      <c r="G103" s="341"/>
      <c r="H103" s="194" t="s">
        <v>105</v>
      </c>
      <c r="I103" s="194"/>
      <c r="J103" s="194"/>
      <c r="K103" s="194">
        <v>3</v>
      </c>
      <c r="L103" s="232"/>
      <c r="M103" s="233">
        <v>3500</v>
      </c>
      <c r="N103" s="233"/>
      <c r="O103" s="233"/>
      <c r="P103" s="231">
        <f>IF(M103="","",K103*M103)</f>
        <v>10500</v>
      </c>
      <c r="Q103" s="231"/>
      <c r="R103" s="231"/>
      <c r="S103" s="7"/>
    </row>
    <row r="104" spans="2:19" ht="21" customHeight="1">
      <c r="B104" s="7"/>
      <c r="C104" s="340" t="s">
        <v>359</v>
      </c>
      <c r="D104" s="280"/>
      <c r="E104" s="280"/>
      <c r="F104" s="280"/>
      <c r="G104" s="341"/>
      <c r="H104" s="194" t="s">
        <v>104</v>
      </c>
      <c r="I104" s="194"/>
      <c r="J104" s="194"/>
      <c r="K104" s="194">
        <v>1</v>
      </c>
      <c r="L104" s="232"/>
      <c r="M104" s="234"/>
      <c r="N104" s="234"/>
      <c r="O104" s="234"/>
      <c r="P104" s="233">
        <v>3500</v>
      </c>
      <c r="Q104" s="233"/>
      <c r="R104" s="233"/>
      <c r="S104" s="7"/>
    </row>
    <row r="105" spans="2:19" ht="21" customHeight="1">
      <c r="B105" s="7"/>
      <c r="C105" s="280" t="s">
        <v>42</v>
      </c>
      <c r="D105" s="280"/>
      <c r="E105" s="280"/>
      <c r="F105" s="280"/>
      <c r="G105" s="341"/>
      <c r="H105" s="194" t="s">
        <v>103</v>
      </c>
      <c r="I105" s="194"/>
      <c r="J105" s="194"/>
      <c r="K105" s="194">
        <v>0.5</v>
      </c>
      <c r="L105" s="232"/>
      <c r="M105" s="233">
        <v>15700</v>
      </c>
      <c r="N105" s="233"/>
      <c r="O105" s="233"/>
      <c r="P105" s="231">
        <f>IF(M105="","",K105*M105)</f>
        <v>7850</v>
      </c>
      <c r="Q105" s="231"/>
      <c r="R105" s="231"/>
      <c r="S105" s="7"/>
    </row>
    <row r="106" spans="2:19" ht="21" customHeight="1">
      <c r="B106" s="7"/>
      <c r="C106" s="340" t="s">
        <v>96</v>
      </c>
      <c r="D106" s="280"/>
      <c r="E106" s="280"/>
      <c r="F106" s="280"/>
      <c r="G106" s="341"/>
      <c r="H106" s="194" t="s">
        <v>105</v>
      </c>
      <c r="I106" s="194"/>
      <c r="J106" s="194"/>
      <c r="K106" s="194">
        <v>3</v>
      </c>
      <c r="L106" s="232"/>
      <c r="M106" s="233">
        <v>3000</v>
      </c>
      <c r="N106" s="233"/>
      <c r="O106" s="233"/>
      <c r="P106" s="231">
        <f>IF(M106="","",K106*M106)</f>
        <v>9000</v>
      </c>
      <c r="Q106" s="231"/>
      <c r="R106" s="231"/>
      <c r="S106" s="7"/>
    </row>
    <row r="107" spans="2:19" ht="21" customHeight="1">
      <c r="B107" s="7"/>
      <c r="C107" s="280" t="s">
        <v>43</v>
      </c>
      <c r="D107" s="280"/>
      <c r="E107" s="280"/>
      <c r="F107" s="280"/>
      <c r="G107" s="341"/>
      <c r="H107" s="194" t="s">
        <v>104</v>
      </c>
      <c r="I107" s="194"/>
      <c r="J107" s="194"/>
      <c r="K107" s="194">
        <v>1</v>
      </c>
      <c r="L107" s="232"/>
      <c r="M107" s="234"/>
      <c r="N107" s="234"/>
      <c r="O107" s="234"/>
      <c r="P107" s="231">
        <f>IF(AND(P105="",P106=""),"",ROUNDDOWN(SUM(P105:R106)*0.15,0))</f>
        <v>2527</v>
      </c>
      <c r="Q107" s="231"/>
      <c r="R107" s="231"/>
      <c r="S107" s="7"/>
    </row>
    <row r="108" spans="2:19" ht="21" customHeight="1">
      <c r="B108" s="7"/>
      <c r="C108" s="196" t="s">
        <v>44</v>
      </c>
      <c r="D108" s="196"/>
      <c r="E108" s="196"/>
      <c r="F108" s="196"/>
      <c r="G108" s="352"/>
      <c r="H108" s="196"/>
      <c r="I108" s="196"/>
      <c r="J108" s="196"/>
      <c r="K108" s="196"/>
      <c r="L108" s="228"/>
      <c r="M108" s="229"/>
      <c r="N108" s="229"/>
      <c r="O108" s="229"/>
      <c r="P108" s="230">
        <f>IF(COUNT(P100:R107)&lt;8,"",SUM(P100:R107))</f>
        <v>105077</v>
      </c>
      <c r="Q108" s="230"/>
      <c r="R108" s="230"/>
      <c r="S108" s="7"/>
    </row>
    <row r="109" spans="2:19" ht="21" customHeight="1">
      <c r="B109" s="7"/>
      <c r="C109" s="7"/>
      <c r="D109" s="7"/>
      <c r="E109" s="7"/>
      <c r="F109" s="7"/>
      <c r="G109" s="7"/>
      <c r="H109" s="7"/>
      <c r="I109" s="7"/>
      <c r="J109" s="7"/>
      <c r="K109" s="7"/>
      <c r="L109" s="7"/>
      <c r="M109" s="7"/>
      <c r="N109" s="7"/>
      <c r="O109" s="7"/>
      <c r="P109" s="160">
        <f>IF(P108="","",ROUNDDOWN(P108,-3))</f>
        <v>105000</v>
      </c>
      <c r="Q109" s="371"/>
      <c r="R109" s="161"/>
      <c r="S109" s="7"/>
    </row>
    <row r="110" spans="2:19" ht="21" customHeight="1">
      <c r="B110" s="7"/>
      <c r="C110" s="342" t="s">
        <v>45</v>
      </c>
      <c r="D110" s="411" t="s">
        <v>46</v>
      </c>
      <c r="E110" s="412"/>
      <c r="F110" s="412"/>
      <c r="G110" s="412"/>
      <c r="H110" s="412"/>
      <c r="I110" s="372" t="s">
        <v>48</v>
      </c>
      <c r="J110" s="372"/>
      <c r="K110" s="372"/>
      <c r="L110" s="47">
        <v>1</v>
      </c>
      <c r="M110" s="7"/>
      <c r="N110" s="7"/>
      <c r="O110" s="7"/>
      <c r="P110" s="159">
        <f>IF(P109="","",ROUNDDOWN(P109/3,-3))</f>
        <v>35000</v>
      </c>
      <c r="Q110" s="155"/>
      <c r="R110" s="156"/>
      <c r="S110" s="4" t="s">
        <v>106</v>
      </c>
    </row>
    <row r="111" spans="2:19" ht="21" customHeight="1">
      <c r="B111" s="7"/>
      <c r="C111" s="343"/>
      <c r="D111" s="375" t="s">
        <v>47</v>
      </c>
      <c r="E111" s="376"/>
      <c r="F111" s="376"/>
      <c r="G111" s="376"/>
      <c r="H111" s="376"/>
      <c r="I111" s="373" t="s">
        <v>48</v>
      </c>
      <c r="J111" s="373"/>
      <c r="K111" s="373"/>
      <c r="L111" s="48">
        <v>0.9</v>
      </c>
      <c r="M111" s="7"/>
      <c r="N111" s="7"/>
      <c r="O111" s="7"/>
      <c r="P111" s="7"/>
      <c r="Q111" s="7"/>
      <c r="R111" s="7"/>
      <c r="S111" s="7"/>
    </row>
    <row r="112" spans="2:19" ht="21" customHeight="1">
      <c r="B112" s="7"/>
      <c r="C112" s="7"/>
      <c r="D112" s="7"/>
      <c r="E112" s="7"/>
      <c r="F112" s="7"/>
      <c r="G112" s="7"/>
      <c r="H112" s="7"/>
      <c r="I112" s="7"/>
      <c r="J112" s="7"/>
      <c r="K112" s="7"/>
      <c r="L112" s="7"/>
      <c r="M112" s="7"/>
      <c r="N112" s="7"/>
      <c r="O112" s="7"/>
      <c r="P112" s="7"/>
      <c r="Q112" s="7"/>
      <c r="R112" s="7"/>
      <c r="S112" s="7"/>
    </row>
    <row r="113" spans="2:19" ht="21" customHeight="1">
      <c r="B113" s="7"/>
      <c r="C113" s="7"/>
      <c r="D113" s="7" t="s">
        <v>107</v>
      </c>
      <c r="E113" s="7"/>
      <c r="F113" s="7"/>
      <c r="G113" s="7"/>
      <c r="H113" s="7" t="s">
        <v>108</v>
      </c>
      <c r="I113" s="7"/>
      <c r="J113" s="7"/>
      <c r="K113" s="7"/>
      <c r="L113" s="7"/>
      <c r="M113" s="7"/>
      <c r="N113" s="7"/>
      <c r="O113" s="7"/>
      <c r="P113" s="7"/>
      <c r="Q113" s="7"/>
      <c r="R113" s="7"/>
      <c r="S113" s="7"/>
    </row>
    <row r="114" spans="2:19" ht="21" customHeight="1">
      <c r="B114" s="7"/>
      <c r="C114" s="7"/>
      <c r="D114" s="7"/>
      <c r="E114" s="7"/>
      <c r="F114" s="54">
        <f>IF(AND(ISTEXT(Q9),K41=""),0,IF(K41="","",K41))</f>
      </c>
      <c r="G114" s="413" t="s">
        <v>109</v>
      </c>
      <c r="H114" s="414"/>
      <c r="I114" s="54">
        <f>IF(AND(ISTEXT(Q9),M41=""),0,IF(M41="","",M41))</f>
      </c>
      <c r="J114" s="52" t="s">
        <v>140</v>
      </c>
      <c r="K114" s="55">
        <f>IF(AND(ISTEXT(Q9),P41=""),0,IF(P41="","",P41))</f>
      </c>
      <c r="L114" s="32" t="s">
        <v>141</v>
      </c>
      <c r="M114" s="506">
        <f>IF(COUNT(F114,I114,K114)&lt;3,"",F114*I114*K114)</f>
      </c>
      <c r="N114" s="402"/>
      <c r="O114" s="403"/>
      <c r="P114" s="33" t="s">
        <v>110</v>
      </c>
      <c r="Q114" s="33"/>
      <c r="R114" s="7"/>
      <c r="S114" s="7"/>
    </row>
    <row r="115" spans="2:19" ht="9.75" customHeight="1">
      <c r="B115" s="7"/>
      <c r="C115" s="7"/>
      <c r="D115" s="7"/>
      <c r="E115" s="7"/>
      <c r="F115" s="7"/>
      <c r="G115" s="16"/>
      <c r="H115" s="53"/>
      <c r="I115" s="22"/>
      <c r="J115" s="22"/>
      <c r="K115" s="34"/>
      <c r="L115" s="34"/>
      <c r="M115" s="22"/>
      <c r="N115" s="22"/>
      <c r="O115" s="4"/>
      <c r="P115" s="4"/>
      <c r="Q115" s="7"/>
      <c r="R115" s="7"/>
      <c r="S115" s="7"/>
    </row>
    <row r="116" spans="2:19" ht="21" customHeight="1">
      <c r="B116" s="7"/>
      <c r="C116" s="7"/>
      <c r="D116" s="7" t="s">
        <v>111</v>
      </c>
      <c r="E116" s="7"/>
      <c r="F116" s="7"/>
      <c r="G116" s="31" t="s">
        <v>142</v>
      </c>
      <c r="H116" s="22"/>
      <c r="I116" s="54">
        <f>IF(OR(Q9="",M114=""),"",M114)</f>
      </c>
      <c r="J116" s="52" t="s">
        <v>112</v>
      </c>
      <c r="K116" s="374">
        <f>IF(P110="","",P110)</f>
        <v>35000</v>
      </c>
      <c r="L116" s="156"/>
      <c r="M116" s="495" t="s">
        <v>113</v>
      </c>
      <c r="N116" s="496"/>
      <c r="O116" s="56">
        <f>IF(I116="","",IF(I116&lt;10,1,0.9))</f>
      </c>
      <c r="P116" s="31" t="s">
        <v>143</v>
      </c>
      <c r="Q116" s="159">
        <f>IF(COUNT(I116,K116,O116)&lt;3,"",I116*K116*O116)</f>
      </c>
      <c r="R116" s="156"/>
      <c r="S116" s="4" t="s">
        <v>121</v>
      </c>
    </row>
    <row r="117" spans="2:19" ht="21" customHeight="1">
      <c r="B117" s="7"/>
      <c r="C117" s="7"/>
      <c r="D117" s="7"/>
      <c r="E117" s="7"/>
      <c r="F117" s="7"/>
      <c r="G117" s="7"/>
      <c r="H117" s="7"/>
      <c r="I117" s="7"/>
      <c r="J117" s="7"/>
      <c r="K117" s="7"/>
      <c r="L117" s="7"/>
      <c r="M117" s="7"/>
      <c r="N117" s="7"/>
      <c r="O117" s="7"/>
      <c r="P117" s="7"/>
      <c r="Q117" s="7"/>
      <c r="R117" s="7"/>
      <c r="S117" s="7"/>
    </row>
    <row r="118" spans="2:19" ht="21" customHeight="1">
      <c r="B118" s="30" t="s">
        <v>55</v>
      </c>
      <c r="C118" s="4" t="s">
        <v>454</v>
      </c>
      <c r="D118" s="4"/>
      <c r="E118" s="7"/>
      <c r="F118" s="7"/>
      <c r="G118" s="7"/>
      <c r="H118" s="7"/>
      <c r="I118" s="7"/>
      <c r="J118" s="7"/>
      <c r="K118" s="7"/>
      <c r="L118" s="7"/>
      <c r="M118" s="7"/>
      <c r="N118" s="7"/>
      <c r="O118" s="7"/>
      <c r="P118" s="7"/>
      <c r="Q118" s="7"/>
      <c r="R118" s="7"/>
      <c r="S118" s="7"/>
    </row>
    <row r="119" spans="2:19" ht="21" customHeight="1">
      <c r="B119" s="7"/>
      <c r="C119" s="145" t="s">
        <v>37</v>
      </c>
      <c r="D119" s="145"/>
      <c r="E119" s="145"/>
      <c r="F119" s="145"/>
      <c r="G119" s="145"/>
      <c r="H119" s="145" t="s">
        <v>99</v>
      </c>
      <c r="I119" s="145"/>
      <c r="J119" s="145"/>
      <c r="K119" s="145" t="s">
        <v>100</v>
      </c>
      <c r="L119" s="422"/>
      <c r="M119" s="145" t="s">
        <v>101</v>
      </c>
      <c r="N119" s="145"/>
      <c r="O119" s="145"/>
      <c r="P119" s="145" t="s">
        <v>102</v>
      </c>
      <c r="Q119" s="145"/>
      <c r="R119" s="145"/>
      <c r="S119" s="7"/>
    </row>
    <row r="120" spans="2:19" ht="21" customHeight="1">
      <c r="B120" s="7"/>
      <c r="C120" s="370" t="s">
        <v>49</v>
      </c>
      <c r="D120" s="370"/>
      <c r="E120" s="370"/>
      <c r="F120" s="370"/>
      <c r="G120" s="370"/>
      <c r="H120" s="202" t="s">
        <v>103</v>
      </c>
      <c r="I120" s="202"/>
      <c r="J120" s="202"/>
      <c r="K120" s="202">
        <v>0.2</v>
      </c>
      <c r="L120" s="429"/>
      <c r="M120" s="421">
        <v>15600</v>
      </c>
      <c r="N120" s="421"/>
      <c r="O120" s="421"/>
      <c r="P120" s="415">
        <f>IF(M120="","",K120*M120)</f>
        <v>3120</v>
      </c>
      <c r="Q120" s="415"/>
      <c r="R120" s="415"/>
      <c r="S120" s="7"/>
    </row>
    <row r="121" spans="2:19" ht="21" customHeight="1">
      <c r="B121" s="7"/>
      <c r="C121" s="280" t="s">
        <v>50</v>
      </c>
      <c r="D121" s="280"/>
      <c r="E121" s="280"/>
      <c r="F121" s="280"/>
      <c r="G121" s="280"/>
      <c r="H121" s="194" t="s">
        <v>104</v>
      </c>
      <c r="I121" s="194"/>
      <c r="J121" s="194"/>
      <c r="K121" s="194">
        <v>1</v>
      </c>
      <c r="L121" s="369"/>
      <c r="M121" s="194"/>
      <c r="N121" s="194"/>
      <c r="O121" s="194"/>
      <c r="P121" s="233">
        <v>3500</v>
      </c>
      <c r="Q121" s="233"/>
      <c r="R121" s="233"/>
      <c r="S121" s="7"/>
    </row>
    <row r="122" spans="2:19" ht="21" customHeight="1">
      <c r="B122" s="7"/>
      <c r="C122" s="280" t="s">
        <v>51</v>
      </c>
      <c r="D122" s="280"/>
      <c r="E122" s="280"/>
      <c r="F122" s="280"/>
      <c r="G122" s="280"/>
      <c r="H122" s="194" t="s">
        <v>103</v>
      </c>
      <c r="I122" s="194"/>
      <c r="J122" s="194"/>
      <c r="K122" s="194">
        <v>0.2</v>
      </c>
      <c r="L122" s="369"/>
      <c r="M122" s="233">
        <v>12800</v>
      </c>
      <c r="N122" s="233"/>
      <c r="O122" s="233"/>
      <c r="P122" s="231">
        <f>IF(M122="","",K122*M122)</f>
        <v>2560</v>
      </c>
      <c r="Q122" s="231"/>
      <c r="R122" s="231"/>
      <c r="S122" s="7"/>
    </row>
    <row r="123" spans="2:19" ht="21" customHeight="1">
      <c r="B123" s="7"/>
      <c r="C123" s="280" t="s">
        <v>52</v>
      </c>
      <c r="D123" s="280"/>
      <c r="E123" s="280"/>
      <c r="F123" s="280"/>
      <c r="G123" s="280"/>
      <c r="H123" s="194" t="s">
        <v>103</v>
      </c>
      <c r="I123" s="194"/>
      <c r="J123" s="194"/>
      <c r="K123" s="194">
        <v>0.2</v>
      </c>
      <c r="L123" s="369"/>
      <c r="M123" s="233">
        <v>17200</v>
      </c>
      <c r="N123" s="233"/>
      <c r="O123" s="233"/>
      <c r="P123" s="231">
        <f>IF(M123="","",K123*M123)</f>
        <v>3440</v>
      </c>
      <c r="Q123" s="231"/>
      <c r="R123" s="231"/>
      <c r="S123" s="7"/>
    </row>
    <row r="124" spans="2:19" ht="21" customHeight="1">
      <c r="B124" s="7"/>
      <c r="C124" s="280" t="s">
        <v>53</v>
      </c>
      <c r="D124" s="280"/>
      <c r="E124" s="280"/>
      <c r="F124" s="280"/>
      <c r="G124" s="280"/>
      <c r="H124" s="194" t="s">
        <v>103</v>
      </c>
      <c r="I124" s="194"/>
      <c r="J124" s="194"/>
      <c r="K124" s="194">
        <v>0.2</v>
      </c>
      <c r="L124" s="369"/>
      <c r="M124" s="233">
        <v>15700</v>
      </c>
      <c r="N124" s="233"/>
      <c r="O124" s="233"/>
      <c r="P124" s="231">
        <f>IF(M124="","",K124*M124)</f>
        <v>3140</v>
      </c>
      <c r="Q124" s="231"/>
      <c r="R124" s="231"/>
      <c r="S124" s="7"/>
    </row>
    <row r="125" spans="2:19" ht="21" customHeight="1">
      <c r="B125" s="7"/>
      <c r="C125" s="280" t="s">
        <v>54</v>
      </c>
      <c r="D125" s="280"/>
      <c r="E125" s="280"/>
      <c r="F125" s="280"/>
      <c r="G125" s="280"/>
      <c r="H125" s="194" t="s">
        <v>103</v>
      </c>
      <c r="I125" s="194"/>
      <c r="J125" s="194"/>
      <c r="K125" s="194">
        <v>0.2</v>
      </c>
      <c r="L125" s="369"/>
      <c r="M125" s="233">
        <v>14700</v>
      </c>
      <c r="N125" s="233"/>
      <c r="O125" s="233"/>
      <c r="P125" s="231">
        <f>IF(M125="","",K125*M125)</f>
        <v>2940</v>
      </c>
      <c r="Q125" s="231"/>
      <c r="R125" s="231"/>
      <c r="S125" s="7"/>
    </row>
    <row r="126" spans="2:19" ht="21" customHeight="1">
      <c r="B126" s="7"/>
      <c r="C126" s="280" t="s">
        <v>43</v>
      </c>
      <c r="D126" s="280"/>
      <c r="E126" s="280"/>
      <c r="F126" s="280"/>
      <c r="G126" s="280"/>
      <c r="H126" s="194" t="s">
        <v>104</v>
      </c>
      <c r="I126" s="194"/>
      <c r="J126" s="194"/>
      <c r="K126" s="194">
        <v>0.2</v>
      </c>
      <c r="L126" s="369"/>
      <c r="M126" s="194"/>
      <c r="N126" s="194"/>
      <c r="O126" s="194"/>
      <c r="P126" s="231">
        <f>IF(AND(P124="",P125=""),"",ROUNDDOWN(SUM(P120:R125)*0.15,0))</f>
        <v>2805</v>
      </c>
      <c r="Q126" s="231"/>
      <c r="R126" s="231"/>
      <c r="S126" s="7"/>
    </row>
    <row r="127" spans="2:19" ht="21" customHeight="1">
      <c r="B127" s="7"/>
      <c r="C127" s="280" t="s">
        <v>41</v>
      </c>
      <c r="D127" s="280"/>
      <c r="E127" s="280"/>
      <c r="F127" s="280"/>
      <c r="G127" s="280"/>
      <c r="H127" s="194" t="s">
        <v>105</v>
      </c>
      <c r="I127" s="194"/>
      <c r="J127" s="194"/>
      <c r="K127" s="194">
        <v>1</v>
      </c>
      <c r="L127" s="369"/>
      <c r="M127" s="233">
        <v>3500</v>
      </c>
      <c r="N127" s="233"/>
      <c r="O127" s="233"/>
      <c r="P127" s="231">
        <f>IF(M127="","",K127*M127)</f>
        <v>3500</v>
      </c>
      <c r="Q127" s="231"/>
      <c r="R127" s="231"/>
      <c r="S127" s="7"/>
    </row>
    <row r="128" spans="2:21" ht="21" customHeight="1">
      <c r="B128" s="7"/>
      <c r="C128" s="196" t="s">
        <v>44</v>
      </c>
      <c r="D128" s="196"/>
      <c r="E128" s="196"/>
      <c r="F128" s="196"/>
      <c r="G128" s="196"/>
      <c r="H128" s="196"/>
      <c r="I128" s="196"/>
      <c r="J128" s="196"/>
      <c r="K128" s="196"/>
      <c r="L128" s="488"/>
      <c r="M128" s="196"/>
      <c r="N128" s="196"/>
      <c r="O128" s="196"/>
      <c r="P128" s="230">
        <f>IF(COUNT(P120:R127)&lt;8,"",SUM(P120:R127))</f>
        <v>25005</v>
      </c>
      <c r="Q128" s="230"/>
      <c r="R128" s="230"/>
      <c r="S128" s="7"/>
      <c r="U128" s="128"/>
    </row>
    <row r="129" spans="2:19" ht="21" customHeight="1">
      <c r="B129" s="7"/>
      <c r="C129" s="7"/>
      <c r="D129" s="7"/>
      <c r="E129" s="7"/>
      <c r="F129" s="7"/>
      <c r="G129" s="7"/>
      <c r="H129" s="7"/>
      <c r="I129" s="7"/>
      <c r="J129" s="7"/>
      <c r="K129" s="7"/>
      <c r="L129" s="7"/>
      <c r="M129" s="7"/>
      <c r="N129" s="7"/>
      <c r="O129" s="7"/>
      <c r="P129" s="160">
        <f>IF(P128="","",ROUNDDOWN(P128,-3))</f>
        <v>25000</v>
      </c>
      <c r="Q129" s="371"/>
      <c r="R129" s="161"/>
      <c r="S129" s="4" t="s">
        <v>123</v>
      </c>
    </row>
    <row r="130" spans="2:19" ht="9.75" customHeight="1">
      <c r="B130" s="7"/>
      <c r="C130" s="7"/>
      <c r="D130" s="7"/>
      <c r="E130" s="7"/>
      <c r="F130" s="7"/>
      <c r="G130" s="7"/>
      <c r="H130" s="7"/>
      <c r="I130" s="7"/>
      <c r="J130" s="7"/>
      <c r="K130" s="7"/>
      <c r="L130" s="7"/>
      <c r="M130" s="7"/>
      <c r="N130" s="7"/>
      <c r="O130" s="7"/>
      <c r="P130" s="7"/>
      <c r="Q130" s="7"/>
      <c r="R130" s="7"/>
      <c r="S130" s="7"/>
    </row>
    <row r="131" spans="2:19" ht="21" customHeight="1">
      <c r="B131" s="7"/>
      <c r="C131" s="7"/>
      <c r="D131" s="7" t="s">
        <v>124</v>
      </c>
      <c r="E131" s="7"/>
      <c r="F131" s="7"/>
      <c r="G131" s="7"/>
      <c r="H131" s="7"/>
      <c r="I131" s="4"/>
      <c r="J131" s="7"/>
      <c r="K131" s="7"/>
      <c r="L131" s="7"/>
      <c r="M131" s="7"/>
      <c r="N131" s="30" t="s">
        <v>127</v>
      </c>
      <c r="O131" s="54">
        <f>IF(AND(ISTEXT(Q10),K42=""),0,IF(K42="","",K42))</f>
      </c>
      <c r="P131" s="7" t="s">
        <v>126</v>
      </c>
      <c r="Q131" s="7"/>
      <c r="R131" s="7"/>
      <c r="S131" s="7"/>
    </row>
    <row r="132" spans="2:19" ht="9.75" customHeight="1">
      <c r="B132" s="7"/>
      <c r="C132" s="7"/>
      <c r="D132" s="7"/>
      <c r="E132" s="7"/>
      <c r="F132" s="7"/>
      <c r="G132" s="7"/>
      <c r="H132" s="7"/>
      <c r="I132" s="7"/>
      <c r="J132" s="7"/>
      <c r="K132" s="7"/>
      <c r="L132" s="7"/>
      <c r="M132" s="7"/>
      <c r="N132" s="7"/>
      <c r="O132" s="7"/>
      <c r="P132" s="7"/>
      <c r="Q132" s="7"/>
      <c r="R132" s="7"/>
      <c r="S132" s="7"/>
    </row>
    <row r="133" spans="2:19" ht="21" customHeight="1">
      <c r="B133" s="7"/>
      <c r="C133" s="7"/>
      <c r="D133" s="7" t="s">
        <v>125</v>
      </c>
      <c r="E133" s="7"/>
      <c r="F133" s="7"/>
      <c r="G133" s="7"/>
      <c r="H133" s="22"/>
      <c r="I133" s="54">
        <f>IF(OR(Q10="",O131=""),"",O131)</f>
      </c>
      <c r="J133" s="52" t="s">
        <v>133</v>
      </c>
      <c r="K133" s="159">
        <f>IF(P129="","",P129)</f>
        <v>25000</v>
      </c>
      <c r="L133" s="156"/>
      <c r="M133" s="493" t="s">
        <v>128</v>
      </c>
      <c r="N133" s="493"/>
      <c r="O133" s="494"/>
      <c r="P133" s="159">
        <f>IF(OR(I133="",K133=""),"",I133*K133)</f>
      </c>
      <c r="Q133" s="155"/>
      <c r="R133" s="156"/>
      <c r="S133" s="4" t="s">
        <v>121</v>
      </c>
    </row>
    <row r="134" spans="2:19" ht="9.75" customHeight="1">
      <c r="B134" s="7"/>
      <c r="C134" s="7"/>
      <c r="D134" s="7"/>
      <c r="E134" s="7"/>
      <c r="F134" s="7"/>
      <c r="G134" s="7"/>
      <c r="H134" s="22"/>
      <c r="I134" s="22"/>
      <c r="J134" s="7"/>
      <c r="K134" s="7"/>
      <c r="L134" s="7"/>
      <c r="M134" s="7"/>
      <c r="N134" s="7"/>
      <c r="O134" s="7"/>
      <c r="P134" s="7"/>
      <c r="Q134" s="7"/>
      <c r="R134" s="7"/>
      <c r="S134" s="7"/>
    </row>
    <row r="135" spans="2:19" ht="21" customHeight="1">
      <c r="B135" s="30" t="s">
        <v>189</v>
      </c>
      <c r="C135" s="7" t="s">
        <v>190</v>
      </c>
      <c r="D135" s="7"/>
      <c r="E135" s="7"/>
      <c r="F135" s="7"/>
      <c r="G135" s="7"/>
      <c r="H135" s="22"/>
      <c r="I135" s="22"/>
      <c r="J135" s="7"/>
      <c r="K135" s="7"/>
      <c r="L135" s="7"/>
      <c r="M135" s="7"/>
      <c r="N135" s="35" t="s">
        <v>129</v>
      </c>
      <c r="O135" s="54">
        <f>IF(AND(ISTEXT(Q11),K43=""),"",IF(K43="","",K43))</f>
      </c>
      <c r="P135" s="7" t="s">
        <v>126</v>
      </c>
      <c r="Q135" s="7"/>
      <c r="R135" s="7"/>
      <c r="S135" s="7"/>
    </row>
    <row r="136" spans="2:19" ht="9.75" customHeight="1">
      <c r="B136" s="30"/>
      <c r="C136" s="7"/>
      <c r="D136" s="7"/>
      <c r="E136" s="7"/>
      <c r="F136" s="7"/>
      <c r="G136" s="7"/>
      <c r="H136" s="22"/>
      <c r="I136" s="22"/>
      <c r="J136" s="7"/>
      <c r="K136" s="7"/>
      <c r="L136" s="7"/>
      <c r="M136" s="7"/>
      <c r="N136" s="35"/>
      <c r="O136" s="16"/>
      <c r="P136" s="28"/>
      <c r="Q136" s="7"/>
      <c r="R136" s="7"/>
      <c r="S136" s="7"/>
    </row>
    <row r="137" spans="2:19" ht="21" customHeight="1">
      <c r="B137" s="7"/>
      <c r="C137" s="7"/>
      <c r="D137" s="7"/>
      <c r="E137" s="7"/>
      <c r="F137" s="7"/>
      <c r="G137" s="7"/>
      <c r="H137" s="22"/>
      <c r="I137" s="54">
        <f>IF(O135="","",O135)</f>
      </c>
      <c r="J137" s="52" t="s">
        <v>133</v>
      </c>
      <c r="K137" s="159">
        <f>IF(AND(ISTEXT(Q11),O43=""),"",IF(O43="","",O43))</f>
      </c>
      <c r="L137" s="156"/>
      <c r="M137" s="493" t="s">
        <v>128</v>
      </c>
      <c r="N137" s="493"/>
      <c r="O137" s="494"/>
      <c r="P137" s="159">
        <f>IF(OR(Q11="",I137="",K137=""),"",I137*K137)</f>
      </c>
      <c r="Q137" s="155"/>
      <c r="R137" s="156"/>
      <c r="S137" s="4" t="s">
        <v>121</v>
      </c>
    </row>
    <row r="138" spans="2:19" ht="9.75" customHeight="1">
      <c r="B138" s="7"/>
      <c r="C138" s="7"/>
      <c r="D138" s="7"/>
      <c r="E138" s="7"/>
      <c r="F138" s="7"/>
      <c r="G138" s="7"/>
      <c r="H138" s="7"/>
      <c r="I138" s="7"/>
      <c r="J138" s="7"/>
      <c r="K138" s="7"/>
      <c r="L138" s="7"/>
      <c r="M138" s="7"/>
      <c r="N138" s="35"/>
      <c r="O138" s="16"/>
      <c r="P138" s="7"/>
      <c r="Q138" s="7"/>
      <c r="R138" s="7"/>
      <c r="S138" s="7"/>
    </row>
    <row r="139" spans="2:19" ht="21" customHeight="1">
      <c r="B139" s="7"/>
      <c r="C139" s="7"/>
      <c r="D139" s="35" t="s">
        <v>383</v>
      </c>
      <c r="E139" s="159">
        <f>IF(Q116="","",Q116)</f>
      </c>
      <c r="F139" s="156"/>
      <c r="G139" s="35" t="s">
        <v>382</v>
      </c>
      <c r="H139" s="159">
        <f>IF(P133="","",P133)</f>
      </c>
      <c r="I139" s="155"/>
      <c r="J139" s="156"/>
      <c r="K139" s="35" t="s">
        <v>379</v>
      </c>
      <c r="L139" s="159">
        <f>IF(P137="","",P137)</f>
      </c>
      <c r="M139" s="155"/>
      <c r="N139" s="156"/>
      <c r="O139" s="53" t="s">
        <v>196</v>
      </c>
      <c r="P139" s="159">
        <f>IF(COUNT(E139,H139,L139)=0,"",SUM(E139,H139,L139))</f>
      </c>
      <c r="Q139" s="155"/>
      <c r="R139" s="156"/>
      <c r="S139" s="4" t="s">
        <v>121</v>
      </c>
    </row>
    <row r="140" spans="2:19" ht="21" customHeight="1">
      <c r="B140" s="7"/>
      <c r="C140" s="7"/>
      <c r="D140" s="7"/>
      <c r="E140" s="7"/>
      <c r="F140" s="7"/>
      <c r="G140" s="7"/>
      <c r="H140" s="7"/>
      <c r="I140" s="7"/>
      <c r="J140" s="7"/>
      <c r="K140" s="7"/>
      <c r="L140" s="7"/>
      <c r="M140" s="7"/>
      <c r="N140" s="35"/>
      <c r="O140" s="16"/>
      <c r="P140" s="7"/>
      <c r="Q140" s="7"/>
      <c r="R140" s="7"/>
      <c r="S140" s="7"/>
    </row>
    <row r="141" spans="2:19" ht="18.75" customHeight="1">
      <c r="B141" s="50" t="s">
        <v>437</v>
      </c>
      <c r="C141" s="2" t="s">
        <v>56</v>
      </c>
      <c r="D141" s="2"/>
      <c r="E141" s="2"/>
      <c r="F141" s="2"/>
      <c r="G141" s="2"/>
      <c r="H141" s="2"/>
      <c r="I141" s="2"/>
      <c r="J141" s="2"/>
      <c r="K141" s="2"/>
      <c r="L141" s="2"/>
      <c r="M141" s="2"/>
      <c r="N141" s="2"/>
      <c r="O141" s="2"/>
      <c r="P141" s="2"/>
      <c r="Q141" s="2"/>
      <c r="R141" s="2"/>
      <c r="S141" s="2"/>
    </row>
    <row r="142" spans="2:19" ht="18.75" customHeight="1">
      <c r="B142" s="2"/>
      <c r="C142" s="2" t="s">
        <v>57</v>
      </c>
      <c r="D142" s="2"/>
      <c r="E142" s="2"/>
      <c r="F142" s="2"/>
      <c r="G142" s="2"/>
      <c r="H142" s="2"/>
      <c r="I142" s="2"/>
      <c r="J142" s="2"/>
      <c r="K142" s="2"/>
      <c r="L142" s="2"/>
      <c r="M142" s="2"/>
      <c r="N142" s="2"/>
      <c r="O142" s="2"/>
      <c r="P142" s="2"/>
      <c r="Q142" s="2"/>
      <c r="R142" s="2"/>
      <c r="S142" s="2"/>
    </row>
    <row r="143" spans="2:19" ht="18.75" customHeight="1">
      <c r="B143" s="2"/>
      <c r="C143" s="2"/>
      <c r="D143" s="3" t="s">
        <v>45</v>
      </c>
      <c r="E143" s="2" t="s">
        <v>59</v>
      </c>
      <c r="F143" s="2"/>
      <c r="G143" s="2"/>
      <c r="H143" s="2"/>
      <c r="I143" s="2"/>
      <c r="J143" s="2"/>
      <c r="K143" s="2"/>
      <c r="L143" s="2"/>
      <c r="M143" s="2"/>
      <c r="N143" s="2"/>
      <c r="O143" s="2"/>
      <c r="P143" s="2"/>
      <c r="Q143" s="2"/>
      <c r="R143" s="2"/>
      <c r="S143" s="2"/>
    </row>
    <row r="144" spans="2:19" ht="18.75" customHeight="1">
      <c r="B144" s="2"/>
      <c r="C144" s="463" t="s">
        <v>58</v>
      </c>
      <c r="D144" s="464"/>
      <c r="E144" s="464"/>
      <c r="F144" s="478" t="s">
        <v>145</v>
      </c>
      <c r="G144" s="479"/>
      <c r="H144" s="479"/>
      <c r="I144" s="479"/>
      <c r="J144" s="479"/>
      <c r="K144" s="479"/>
      <c r="L144" s="476" t="s">
        <v>241</v>
      </c>
      <c r="M144" s="477"/>
      <c r="N144" s="477"/>
      <c r="O144" s="477"/>
      <c r="P144" s="477"/>
      <c r="Q144" s="477"/>
      <c r="R144" s="464" t="s">
        <v>158</v>
      </c>
      <c r="S144" s="497"/>
    </row>
    <row r="145" spans="2:19" ht="15" customHeight="1">
      <c r="B145" s="2"/>
      <c r="C145" s="465"/>
      <c r="D145" s="466"/>
      <c r="E145" s="466"/>
      <c r="F145" s="480"/>
      <c r="G145" s="481"/>
      <c r="H145" s="481"/>
      <c r="I145" s="481"/>
      <c r="J145" s="481"/>
      <c r="K145" s="481"/>
      <c r="L145" s="204" t="s">
        <v>242</v>
      </c>
      <c r="M145" s="205"/>
      <c r="N145" s="459" t="s">
        <v>243</v>
      </c>
      <c r="O145" s="460"/>
      <c r="P145" s="461"/>
      <c r="Q145" s="457" t="s">
        <v>157</v>
      </c>
      <c r="R145" s="466"/>
      <c r="S145" s="498"/>
    </row>
    <row r="146" spans="2:19" ht="15" customHeight="1">
      <c r="B146" s="2"/>
      <c r="C146" s="467"/>
      <c r="D146" s="468"/>
      <c r="E146" s="468"/>
      <c r="F146" s="482"/>
      <c r="G146" s="482"/>
      <c r="H146" s="482"/>
      <c r="I146" s="482"/>
      <c r="J146" s="482"/>
      <c r="K146" s="482"/>
      <c r="L146" s="109" t="s">
        <v>153</v>
      </c>
      <c r="M146" s="109" t="s">
        <v>154</v>
      </c>
      <c r="N146" s="484" t="s">
        <v>155</v>
      </c>
      <c r="O146" s="484"/>
      <c r="P146" s="109" t="s">
        <v>156</v>
      </c>
      <c r="Q146" s="458"/>
      <c r="R146" s="468"/>
      <c r="S146" s="499"/>
    </row>
    <row r="147" spans="2:19" ht="15" customHeight="1">
      <c r="B147" s="2"/>
      <c r="C147" s="469"/>
      <c r="D147" s="470"/>
      <c r="E147" s="470"/>
      <c r="F147" s="483"/>
      <c r="G147" s="483"/>
      <c r="H147" s="483"/>
      <c r="I147" s="483"/>
      <c r="J147" s="483"/>
      <c r="K147" s="483"/>
      <c r="L147" s="83">
        <f>IF($U$50="","",IF($U$50=1,"○",""))</f>
      </c>
      <c r="M147" s="83">
        <f>IF($U$50="","",IF($U$50=2,"○",""))</f>
      </c>
      <c r="N147" s="507">
        <f>IF($U$50="","",IF($U$50=3,"○",""))</f>
      </c>
      <c r="O147" s="508">
        <f>IF($U$50="","",IF($U$50=1,"○",""))</f>
      </c>
      <c r="P147" s="83">
        <f>IF($U$50="","",IF($U$50=4,"○",""))</f>
      </c>
      <c r="Q147" s="84">
        <f>IF($U$50="","",IF($U$50=5,"○",""))</f>
      </c>
      <c r="R147" s="470"/>
      <c r="S147" s="500"/>
    </row>
    <row r="148" spans="2:21" ht="24" customHeight="1">
      <c r="B148" s="2"/>
      <c r="C148" s="344" t="s">
        <v>219</v>
      </c>
      <c r="D148" s="345"/>
      <c r="E148" s="346"/>
      <c r="F148" s="198" t="s">
        <v>66</v>
      </c>
      <c r="G148" s="199"/>
      <c r="H148" s="200"/>
      <c r="I148" s="200"/>
      <c r="J148" s="348" t="s">
        <v>159</v>
      </c>
      <c r="K148" s="349"/>
      <c r="L148" s="57">
        <v>1</v>
      </c>
      <c r="M148" s="57">
        <v>1.5</v>
      </c>
      <c r="N148" s="492">
        <v>1</v>
      </c>
      <c r="O148" s="492"/>
      <c r="P148" s="57">
        <v>1.5</v>
      </c>
      <c r="Q148" s="85">
        <v>0.5</v>
      </c>
      <c r="R148" s="504">
        <f>IF(OR($Q$12="",COUNT($Q$48,U148)&lt;2),"",ROUND((0.3+0.5*$Q$48)*U148,2))</f>
      </c>
      <c r="S148" s="505"/>
      <c r="U148" s="79">
        <f>IF($U$50="","",CHOOSE($U$50,L148,M148,N148,P148,Q148,""))</f>
      </c>
    </row>
    <row r="149" spans="2:21" ht="6" customHeight="1">
      <c r="B149" s="2"/>
      <c r="C149" s="210" t="s">
        <v>60</v>
      </c>
      <c r="D149" s="211"/>
      <c r="E149" s="212"/>
      <c r="F149" s="206" t="s">
        <v>146</v>
      </c>
      <c r="G149" s="207"/>
      <c r="H149" s="222" t="s">
        <v>1</v>
      </c>
      <c r="I149" s="5" t="s">
        <v>180</v>
      </c>
      <c r="J149" s="224" t="s">
        <v>149</v>
      </c>
      <c r="K149" s="225"/>
      <c r="L149" s="449">
        <v>1</v>
      </c>
      <c r="M149" s="449">
        <v>1.5</v>
      </c>
      <c r="N149" s="449">
        <v>1</v>
      </c>
      <c r="O149" s="449"/>
      <c r="P149" s="449">
        <v>1.5</v>
      </c>
      <c r="Q149" s="450">
        <v>0.5</v>
      </c>
      <c r="R149" s="454">
        <f>IF(OR($Q$12="",COUNT($Q$48,$J$30,$J$31,U149)&lt;4),"",ROUND((3+0.1*SQRT($J$30*$J$31))*$Q$48*0.5*U149,2))</f>
      </c>
      <c r="S149" s="302"/>
      <c r="U149" s="524">
        <f aca="true" t="shared" si="0" ref="U149:U159">IF($U$50="","",CHOOSE($U$50,L149,M149,N149,P149,Q149,""))</f>
      </c>
    </row>
    <row r="150" spans="2:21" ht="13.5" customHeight="1">
      <c r="B150" s="2"/>
      <c r="C150" s="336"/>
      <c r="D150" s="211"/>
      <c r="E150" s="212"/>
      <c r="F150" s="208"/>
      <c r="G150" s="209"/>
      <c r="H150" s="223"/>
      <c r="I150" s="38" t="s">
        <v>0</v>
      </c>
      <c r="J150" s="226"/>
      <c r="K150" s="227"/>
      <c r="L150" s="449"/>
      <c r="M150" s="449"/>
      <c r="N150" s="449"/>
      <c r="O150" s="449"/>
      <c r="P150" s="449"/>
      <c r="Q150" s="450"/>
      <c r="R150" s="489"/>
      <c r="S150" s="304"/>
      <c r="U150" s="525"/>
    </row>
    <row r="151" spans="2:21" ht="6" customHeight="1">
      <c r="B151" s="2"/>
      <c r="C151" s="210" t="s">
        <v>61</v>
      </c>
      <c r="D151" s="211"/>
      <c r="E151" s="212"/>
      <c r="F151" s="219" t="s">
        <v>147</v>
      </c>
      <c r="G151" s="220"/>
      <c r="H151" s="347" t="s">
        <v>1</v>
      </c>
      <c r="I151" s="33" t="s">
        <v>180</v>
      </c>
      <c r="J151" s="462" t="s">
        <v>150</v>
      </c>
      <c r="K151" s="444"/>
      <c r="L151" s="449">
        <v>1</v>
      </c>
      <c r="M151" s="449">
        <v>1.5</v>
      </c>
      <c r="N151" s="449">
        <v>0.8</v>
      </c>
      <c r="O151" s="449"/>
      <c r="P151" s="449">
        <v>1.2</v>
      </c>
      <c r="Q151" s="450">
        <v>0.3</v>
      </c>
      <c r="R151" s="454">
        <f>IF(OR($Q$12="",COUNT($J$30,$J$31,U151)&lt;3),"",ROUND((0.1*SQRT($J$30*$J$31))*0.5*U151,2))</f>
      </c>
      <c r="S151" s="302"/>
      <c r="U151" s="524">
        <f t="shared" si="0"/>
      </c>
    </row>
    <row r="152" spans="2:21" ht="13.5" customHeight="1">
      <c r="B152" s="2"/>
      <c r="C152" s="336"/>
      <c r="D152" s="211"/>
      <c r="E152" s="212"/>
      <c r="F152" s="221"/>
      <c r="G152" s="220"/>
      <c r="H152" s="347"/>
      <c r="I152" s="36" t="s">
        <v>0</v>
      </c>
      <c r="J152" s="462"/>
      <c r="K152" s="444"/>
      <c r="L152" s="449"/>
      <c r="M152" s="449"/>
      <c r="N152" s="449"/>
      <c r="O152" s="449"/>
      <c r="P152" s="449"/>
      <c r="Q152" s="450"/>
      <c r="R152" s="489"/>
      <c r="S152" s="304"/>
      <c r="U152" s="526"/>
    </row>
    <row r="153" spans="2:21" ht="6" customHeight="1">
      <c r="B153" s="2"/>
      <c r="C153" s="210" t="s">
        <v>62</v>
      </c>
      <c r="D153" s="211"/>
      <c r="E153" s="212"/>
      <c r="F153" s="206" t="s">
        <v>147</v>
      </c>
      <c r="G153" s="207"/>
      <c r="H153" s="222" t="s">
        <v>1</v>
      </c>
      <c r="I153" s="5" t="s">
        <v>180</v>
      </c>
      <c r="J153" s="224" t="s">
        <v>150</v>
      </c>
      <c r="K153" s="225"/>
      <c r="L153" s="449">
        <v>1</v>
      </c>
      <c r="M153" s="449">
        <v>1.5</v>
      </c>
      <c r="N153" s="449">
        <v>0.5</v>
      </c>
      <c r="O153" s="449"/>
      <c r="P153" s="437">
        <v>0.75</v>
      </c>
      <c r="Q153" s="435" t="s">
        <v>198</v>
      </c>
      <c r="R153" s="454">
        <f>IF(OR($Q$12="",COUNT($J$30,$J$31,U153)&lt;3),"",ROUND((0.1*SQRT($J$30*$J$31))*0.5*U153,2))</f>
      </c>
      <c r="S153" s="302"/>
      <c r="U153" s="524">
        <f t="shared" si="0"/>
      </c>
    </row>
    <row r="154" spans="2:21" ht="13.5" customHeight="1">
      <c r="B154" s="2"/>
      <c r="C154" s="336"/>
      <c r="D154" s="211"/>
      <c r="E154" s="212"/>
      <c r="F154" s="208"/>
      <c r="G154" s="209"/>
      <c r="H154" s="223"/>
      <c r="I154" s="38" t="s">
        <v>0</v>
      </c>
      <c r="J154" s="226"/>
      <c r="K154" s="227"/>
      <c r="L154" s="449"/>
      <c r="M154" s="449"/>
      <c r="N154" s="449"/>
      <c r="O154" s="449"/>
      <c r="P154" s="437"/>
      <c r="Q154" s="436"/>
      <c r="R154" s="489"/>
      <c r="S154" s="304"/>
      <c r="U154" s="525"/>
    </row>
    <row r="155" spans="2:21" ht="6" customHeight="1">
      <c r="B155" s="2"/>
      <c r="C155" s="210" t="s">
        <v>134</v>
      </c>
      <c r="D155" s="211"/>
      <c r="E155" s="212"/>
      <c r="F155" s="219" t="s">
        <v>146</v>
      </c>
      <c r="G155" s="220"/>
      <c r="H155" s="347" t="s">
        <v>1</v>
      </c>
      <c r="I155" s="33" t="s">
        <v>180</v>
      </c>
      <c r="J155" s="443" t="s">
        <v>151</v>
      </c>
      <c r="K155" s="444"/>
      <c r="L155" s="449">
        <v>1</v>
      </c>
      <c r="M155" s="449">
        <v>1.1</v>
      </c>
      <c r="N155" s="435" t="s">
        <v>198</v>
      </c>
      <c r="O155" s="490"/>
      <c r="P155" s="433" t="s">
        <v>198</v>
      </c>
      <c r="Q155" s="435" t="s">
        <v>198</v>
      </c>
      <c r="R155" s="454">
        <f>IF(OR($Q$12="",COUNT($Q$48,$J$30,$J$31,U155)&lt;4),"",ROUND((3+0.1*SQRT($J$30*$J$31))*$Q$48*0.25*U155,2))</f>
      </c>
      <c r="S155" s="302"/>
      <c r="U155" s="524">
        <f t="shared" si="0"/>
      </c>
    </row>
    <row r="156" spans="2:21" ht="13.5" customHeight="1">
      <c r="B156" s="2"/>
      <c r="C156" s="336"/>
      <c r="D156" s="211"/>
      <c r="E156" s="212"/>
      <c r="F156" s="221"/>
      <c r="G156" s="220"/>
      <c r="H156" s="347"/>
      <c r="I156" s="36" t="s">
        <v>0</v>
      </c>
      <c r="J156" s="462"/>
      <c r="K156" s="444"/>
      <c r="L156" s="449"/>
      <c r="M156" s="449"/>
      <c r="N156" s="436"/>
      <c r="O156" s="491"/>
      <c r="P156" s="434"/>
      <c r="Q156" s="436"/>
      <c r="R156" s="489"/>
      <c r="S156" s="304"/>
      <c r="U156" s="525"/>
    </row>
    <row r="157" spans="2:21" ht="6" customHeight="1">
      <c r="B157" s="2"/>
      <c r="C157" s="210" t="s">
        <v>63</v>
      </c>
      <c r="D157" s="211"/>
      <c r="E157" s="212"/>
      <c r="F157" s="206" t="s">
        <v>146</v>
      </c>
      <c r="G157" s="207"/>
      <c r="H157" s="222" t="s">
        <v>1</v>
      </c>
      <c r="I157" s="5" t="s">
        <v>180</v>
      </c>
      <c r="J157" s="247" t="s">
        <v>152</v>
      </c>
      <c r="K157" s="225"/>
      <c r="L157" s="449">
        <v>1</v>
      </c>
      <c r="M157" s="449">
        <v>1.1</v>
      </c>
      <c r="N157" s="435" t="s">
        <v>198</v>
      </c>
      <c r="O157" s="490"/>
      <c r="P157" s="433" t="s">
        <v>198</v>
      </c>
      <c r="Q157" s="435" t="s">
        <v>198</v>
      </c>
      <c r="R157" s="454">
        <f>IF(OR($Q$12="",COUNT($Q$48,$J$30,$J$31,U157)&lt;4),"",ROUND((3+0.1*SQRT($J$30*$J$31))*$Q$48*0.125*U157,2))</f>
      </c>
      <c r="S157" s="302"/>
      <c r="U157" s="524">
        <f t="shared" si="0"/>
      </c>
    </row>
    <row r="158" spans="2:21" ht="13.5" customHeight="1">
      <c r="B158" s="2"/>
      <c r="C158" s="336"/>
      <c r="D158" s="211"/>
      <c r="E158" s="212"/>
      <c r="F158" s="208"/>
      <c r="G158" s="209"/>
      <c r="H158" s="223"/>
      <c r="I158" s="38" t="s">
        <v>0</v>
      </c>
      <c r="J158" s="226"/>
      <c r="K158" s="227"/>
      <c r="L158" s="449"/>
      <c r="M158" s="449"/>
      <c r="N158" s="436"/>
      <c r="O158" s="491"/>
      <c r="P158" s="434"/>
      <c r="Q158" s="436"/>
      <c r="R158" s="489"/>
      <c r="S158" s="304"/>
      <c r="U158" s="525"/>
    </row>
    <row r="159" spans="2:21" ht="6" customHeight="1">
      <c r="B159" s="2"/>
      <c r="C159" s="210" t="s">
        <v>64</v>
      </c>
      <c r="D159" s="211"/>
      <c r="E159" s="212"/>
      <c r="F159" s="333" t="s">
        <v>148</v>
      </c>
      <c r="G159" s="220"/>
      <c r="H159" s="347" t="s">
        <v>1</v>
      </c>
      <c r="I159" s="33" t="s">
        <v>180</v>
      </c>
      <c r="J159" s="443" t="s">
        <v>199</v>
      </c>
      <c r="K159" s="444"/>
      <c r="L159" s="449">
        <v>1</v>
      </c>
      <c r="M159" s="449">
        <v>1.2</v>
      </c>
      <c r="N159" s="449">
        <v>0.8</v>
      </c>
      <c r="O159" s="449"/>
      <c r="P159" s="437">
        <v>0.96</v>
      </c>
      <c r="Q159" s="450">
        <v>0.3</v>
      </c>
      <c r="R159" s="454">
        <f>IF(OR($Q$12="",COUNT($J$30,$J$31,U159)&lt;3),"",ROUND((2+0.1*SQRT($J$30*$J$31))*0.5*U159,2))</f>
      </c>
      <c r="S159" s="302"/>
      <c r="U159" s="524">
        <f t="shared" si="0"/>
      </c>
    </row>
    <row r="160" spans="2:21" ht="13.5" customHeight="1" thickBot="1">
      <c r="B160" s="2"/>
      <c r="C160" s="213"/>
      <c r="D160" s="214"/>
      <c r="E160" s="215"/>
      <c r="F160" s="334"/>
      <c r="G160" s="335"/>
      <c r="H160" s="442"/>
      <c r="I160" s="37" t="s">
        <v>0</v>
      </c>
      <c r="J160" s="445"/>
      <c r="K160" s="446"/>
      <c r="L160" s="501"/>
      <c r="M160" s="501"/>
      <c r="N160" s="501"/>
      <c r="O160" s="501"/>
      <c r="P160" s="438"/>
      <c r="Q160" s="451"/>
      <c r="R160" s="455"/>
      <c r="S160" s="456"/>
      <c r="U160" s="525"/>
    </row>
    <row r="161" spans="2:21" ht="18.75" customHeight="1" thickTop="1">
      <c r="B161" s="2"/>
      <c r="C161" s="216" t="s">
        <v>65</v>
      </c>
      <c r="D161" s="217"/>
      <c r="E161" s="218"/>
      <c r="F161" s="447" t="s">
        <v>114</v>
      </c>
      <c r="G161" s="448"/>
      <c r="H161" s="448"/>
      <c r="I161" s="448"/>
      <c r="J161" s="448"/>
      <c r="K161" s="448"/>
      <c r="L161" s="448"/>
      <c r="M161" s="448"/>
      <c r="N161" s="448"/>
      <c r="O161" s="448"/>
      <c r="P161" s="448"/>
      <c r="Q161" s="448"/>
      <c r="R161" s="439">
        <f>IF(Q12="","",IF(COUNT(Q48,J30,J31,U50)&lt;4,0,ROUND(SUM(R148:S160),0)))</f>
      </c>
      <c r="S161" s="440"/>
      <c r="U161" s="86"/>
    </row>
    <row r="162" spans="2:19" ht="18.75" customHeight="1">
      <c r="B162" s="2"/>
      <c r="C162" s="7" t="s">
        <v>160</v>
      </c>
      <c r="D162" s="39"/>
      <c r="E162" s="39"/>
      <c r="F162" s="39"/>
      <c r="G162" s="39"/>
      <c r="H162" s="7"/>
      <c r="I162" s="7"/>
      <c r="J162" s="7"/>
      <c r="K162" s="7"/>
      <c r="L162" s="7"/>
      <c r="M162" s="7"/>
      <c r="N162" s="7"/>
      <c r="O162" s="7"/>
      <c r="P162" s="7"/>
      <c r="Q162" s="7"/>
      <c r="R162" s="7"/>
      <c r="S162" s="7"/>
    </row>
    <row r="163" spans="2:19" ht="18.75" customHeight="1">
      <c r="B163" s="2"/>
      <c r="C163" s="4" t="s">
        <v>161</v>
      </c>
      <c r="D163" s="39"/>
      <c r="E163" s="39"/>
      <c r="F163" s="39"/>
      <c r="G163" s="39"/>
      <c r="H163" s="7"/>
      <c r="I163" s="7"/>
      <c r="J163" s="7"/>
      <c r="K163" s="7"/>
      <c r="L163" s="7"/>
      <c r="M163" s="7"/>
      <c r="N163" s="7"/>
      <c r="O163" s="7"/>
      <c r="P163" s="7"/>
      <c r="Q163" s="7"/>
      <c r="R163" s="7"/>
      <c r="S163" s="7"/>
    </row>
    <row r="164" spans="2:19" ht="18.75" customHeight="1">
      <c r="B164" s="2"/>
      <c r="C164" s="7" t="s">
        <v>162</v>
      </c>
      <c r="D164" s="39"/>
      <c r="E164" s="39"/>
      <c r="F164" s="39"/>
      <c r="G164" s="39"/>
      <c r="H164" s="7"/>
      <c r="I164" s="7"/>
      <c r="J164" s="7"/>
      <c r="K164" s="7"/>
      <c r="L164" s="7"/>
      <c r="M164" s="7"/>
      <c r="N164" s="7"/>
      <c r="O164" s="7"/>
      <c r="P164" s="7"/>
      <c r="Q164" s="7"/>
      <c r="R164" s="7"/>
      <c r="S164" s="7"/>
    </row>
    <row r="165" spans="2:19" ht="18.75" customHeight="1">
      <c r="B165" s="2"/>
      <c r="C165" s="145" t="s">
        <v>163</v>
      </c>
      <c r="D165" s="201"/>
      <c r="E165" s="201"/>
      <c r="F165" s="201"/>
      <c r="G165" s="145" t="s">
        <v>173</v>
      </c>
      <c r="H165" s="201"/>
      <c r="I165" s="201"/>
      <c r="J165" s="201"/>
      <c r="K165" s="201"/>
      <c r="L165" s="201"/>
      <c r="M165" s="201"/>
      <c r="N165" s="201"/>
      <c r="O165" s="201"/>
      <c r="P165" s="201"/>
      <c r="Q165" s="201"/>
      <c r="R165" s="7"/>
      <c r="S165" s="7"/>
    </row>
    <row r="166" spans="2:19" ht="18.75" customHeight="1">
      <c r="B166" s="2"/>
      <c r="C166" s="201"/>
      <c r="D166" s="201"/>
      <c r="E166" s="201"/>
      <c r="F166" s="201"/>
      <c r="G166" s="145" t="s">
        <v>169</v>
      </c>
      <c r="H166" s="201"/>
      <c r="I166" s="201"/>
      <c r="J166" s="201"/>
      <c r="K166" s="145" t="s">
        <v>171</v>
      </c>
      <c r="L166" s="145"/>
      <c r="M166" s="145"/>
      <c r="N166" s="145" t="s">
        <v>172</v>
      </c>
      <c r="O166" s="145"/>
      <c r="P166" s="145"/>
      <c r="Q166" s="145"/>
      <c r="R166" s="7"/>
      <c r="S166" s="7"/>
    </row>
    <row r="167" spans="2:19" ht="18.75" customHeight="1">
      <c r="B167" s="2"/>
      <c r="C167" s="202" t="s">
        <v>164</v>
      </c>
      <c r="D167" s="203"/>
      <c r="E167" s="203"/>
      <c r="F167" s="203"/>
      <c r="G167" s="202">
        <v>2</v>
      </c>
      <c r="H167" s="202"/>
      <c r="I167" s="202"/>
      <c r="J167" s="202"/>
      <c r="K167" s="202">
        <v>2.2</v>
      </c>
      <c r="L167" s="202"/>
      <c r="M167" s="202"/>
      <c r="N167" s="202">
        <v>2.4</v>
      </c>
      <c r="O167" s="202"/>
      <c r="P167" s="202"/>
      <c r="Q167" s="202"/>
      <c r="R167" s="7"/>
      <c r="S167" s="7"/>
    </row>
    <row r="168" spans="2:19" ht="18.75" customHeight="1">
      <c r="B168" s="2"/>
      <c r="C168" s="194" t="s">
        <v>165</v>
      </c>
      <c r="D168" s="195"/>
      <c r="E168" s="195"/>
      <c r="F168" s="195"/>
      <c r="G168" s="194">
        <v>1.5</v>
      </c>
      <c r="H168" s="194"/>
      <c r="I168" s="194"/>
      <c r="J168" s="194"/>
      <c r="K168" s="194">
        <v>1.7</v>
      </c>
      <c r="L168" s="194"/>
      <c r="M168" s="194"/>
      <c r="N168" s="194">
        <v>1.8</v>
      </c>
      <c r="O168" s="194"/>
      <c r="P168" s="194"/>
      <c r="Q168" s="194"/>
      <c r="R168" s="7"/>
      <c r="S168" s="7"/>
    </row>
    <row r="169" spans="2:19" ht="18.75" customHeight="1">
      <c r="B169" s="2"/>
      <c r="C169" s="194" t="s">
        <v>166</v>
      </c>
      <c r="D169" s="195"/>
      <c r="E169" s="195"/>
      <c r="F169" s="195"/>
      <c r="G169" s="194">
        <v>1.2</v>
      </c>
      <c r="H169" s="194"/>
      <c r="I169" s="194"/>
      <c r="J169" s="194"/>
      <c r="K169" s="194">
        <v>1.3</v>
      </c>
      <c r="L169" s="194"/>
      <c r="M169" s="194"/>
      <c r="N169" s="194">
        <v>1.4</v>
      </c>
      <c r="O169" s="194"/>
      <c r="P169" s="194"/>
      <c r="Q169" s="194"/>
      <c r="R169" s="7"/>
      <c r="S169" s="7"/>
    </row>
    <row r="170" spans="2:19" ht="18.75" customHeight="1">
      <c r="B170" s="2"/>
      <c r="C170" s="194" t="s">
        <v>167</v>
      </c>
      <c r="D170" s="195"/>
      <c r="E170" s="195"/>
      <c r="F170" s="195"/>
      <c r="G170" s="194">
        <v>1</v>
      </c>
      <c r="H170" s="194"/>
      <c r="I170" s="194"/>
      <c r="J170" s="194"/>
      <c r="K170" s="194">
        <v>1.1</v>
      </c>
      <c r="L170" s="194"/>
      <c r="M170" s="194"/>
      <c r="N170" s="194">
        <v>1.2</v>
      </c>
      <c r="O170" s="194"/>
      <c r="P170" s="194"/>
      <c r="Q170" s="194"/>
      <c r="R170" s="7"/>
      <c r="S170" s="7"/>
    </row>
    <row r="171" spans="2:19" ht="18.75" customHeight="1">
      <c r="B171" s="2"/>
      <c r="C171" s="196" t="s">
        <v>168</v>
      </c>
      <c r="D171" s="197"/>
      <c r="E171" s="197"/>
      <c r="F171" s="197"/>
      <c r="G171" s="196" t="s">
        <v>170</v>
      </c>
      <c r="H171" s="196"/>
      <c r="I171" s="196"/>
      <c r="J171" s="196"/>
      <c r="K171" s="196">
        <v>1</v>
      </c>
      <c r="L171" s="196"/>
      <c r="M171" s="196"/>
      <c r="N171" s="196">
        <v>1</v>
      </c>
      <c r="O171" s="196"/>
      <c r="P171" s="196"/>
      <c r="Q171" s="196"/>
      <c r="R171" s="7"/>
      <c r="S171" s="7"/>
    </row>
    <row r="172" spans="2:19" ht="18.75" customHeight="1">
      <c r="B172" s="2"/>
      <c r="C172" s="7" t="s">
        <v>174</v>
      </c>
      <c r="D172" s="39"/>
      <c r="E172" s="39"/>
      <c r="F172" s="39"/>
      <c r="G172" s="39"/>
      <c r="H172" s="7"/>
      <c r="I172" s="7"/>
      <c r="J172" s="7"/>
      <c r="K172" s="7"/>
      <c r="L172" s="7"/>
      <c r="M172" s="7"/>
      <c r="N172" s="7"/>
      <c r="O172" s="7"/>
      <c r="P172" s="7"/>
      <c r="Q172" s="7"/>
      <c r="R172" s="7"/>
      <c r="S172" s="7"/>
    </row>
    <row r="173" spans="2:19" ht="18.75" customHeight="1">
      <c r="B173" s="2"/>
      <c r="C173" s="7" t="s">
        <v>175</v>
      </c>
      <c r="D173" s="39"/>
      <c r="E173" s="39"/>
      <c r="F173" s="39"/>
      <c r="G173" s="39"/>
      <c r="H173" s="7"/>
      <c r="I173" s="7"/>
      <c r="J173" s="7"/>
      <c r="K173" s="7"/>
      <c r="L173" s="7"/>
      <c r="M173" s="7"/>
      <c r="N173" s="7"/>
      <c r="O173" s="7"/>
      <c r="P173" s="7"/>
      <c r="Q173" s="7"/>
      <c r="R173" s="7"/>
      <c r="S173" s="7"/>
    </row>
    <row r="174" spans="2:19" ht="18.75" customHeight="1">
      <c r="B174" s="2"/>
      <c r="C174" s="145" t="s">
        <v>176</v>
      </c>
      <c r="D174" s="145"/>
      <c r="E174" s="145"/>
      <c r="F174" s="145"/>
      <c r="G174" s="145" t="s">
        <v>244</v>
      </c>
      <c r="H174" s="145"/>
      <c r="I174" s="145"/>
      <c r="J174" s="145"/>
      <c r="K174" s="7"/>
      <c r="L174" s="7"/>
      <c r="M174" s="7"/>
      <c r="N174" s="7"/>
      <c r="O174" s="7"/>
      <c r="P174" s="7"/>
      <c r="Q174" s="7"/>
      <c r="R174" s="7"/>
      <c r="S174" s="7"/>
    </row>
    <row r="175" spans="2:19" ht="18.75" customHeight="1">
      <c r="B175" s="2"/>
      <c r="C175" s="145" t="s">
        <v>177</v>
      </c>
      <c r="D175" s="145"/>
      <c r="E175" s="145"/>
      <c r="F175" s="145"/>
      <c r="G175" s="146">
        <v>2</v>
      </c>
      <c r="H175" s="146"/>
      <c r="I175" s="146"/>
      <c r="J175" s="146"/>
      <c r="K175" s="7"/>
      <c r="L175" s="7"/>
      <c r="M175" s="7"/>
      <c r="N175" s="7"/>
      <c r="O175" s="7"/>
      <c r="P175" s="7"/>
      <c r="Q175" s="7"/>
      <c r="R175" s="7"/>
      <c r="S175" s="7"/>
    </row>
    <row r="176" spans="2:19" ht="18.75" customHeight="1">
      <c r="B176" s="2"/>
      <c r="C176" s="145" t="s">
        <v>217</v>
      </c>
      <c r="D176" s="145"/>
      <c r="E176" s="145"/>
      <c r="F176" s="145"/>
      <c r="G176" s="146">
        <v>1.5</v>
      </c>
      <c r="H176" s="146"/>
      <c r="I176" s="146"/>
      <c r="J176" s="146"/>
      <c r="K176" s="7"/>
      <c r="L176" s="7"/>
      <c r="M176" s="7"/>
      <c r="N176" s="7"/>
      <c r="O176" s="7"/>
      <c r="P176" s="7"/>
      <c r="Q176" s="7"/>
      <c r="R176" s="7"/>
      <c r="S176" s="7"/>
    </row>
    <row r="177" spans="2:19" ht="18.75" customHeight="1">
      <c r="B177" s="2"/>
      <c r="C177" s="145" t="s">
        <v>210</v>
      </c>
      <c r="D177" s="145"/>
      <c r="E177" s="145"/>
      <c r="F177" s="145"/>
      <c r="G177" s="146">
        <v>1.2</v>
      </c>
      <c r="H177" s="146"/>
      <c r="I177" s="146"/>
      <c r="J177" s="146"/>
      <c r="K177" s="7"/>
      <c r="L177" s="7"/>
      <c r="M177" s="7"/>
      <c r="N177" s="7"/>
      <c r="O177" s="7"/>
      <c r="P177" s="7"/>
      <c r="Q177" s="7"/>
      <c r="R177" s="7"/>
      <c r="S177" s="7"/>
    </row>
    <row r="178" spans="2:19" ht="18.75" customHeight="1">
      <c r="B178" s="2"/>
      <c r="C178" s="7"/>
      <c r="D178" s="39"/>
      <c r="E178" s="39"/>
      <c r="F178" s="39"/>
      <c r="G178" s="39"/>
      <c r="H178" s="7"/>
      <c r="I178" s="7"/>
      <c r="J178" s="7"/>
      <c r="K178" s="7"/>
      <c r="L178" s="7"/>
      <c r="M178" s="7"/>
      <c r="N178" s="7"/>
      <c r="O178" s="7"/>
      <c r="P178" s="7"/>
      <c r="Q178" s="7"/>
      <c r="R178" s="7"/>
      <c r="S178" s="7"/>
    </row>
    <row r="179" spans="2:19" ht="18.75" customHeight="1">
      <c r="B179" s="4" t="s">
        <v>130</v>
      </c>
      <c r="C179" s="4" t="s">
        <v>467</v>
      </c>
      <c r="D179" s="7"/>
      <c r="E179" s="7"/>
      <c r="F179" s="7"/>
      <c r="G179" s="7"/>
      <c r="H179" s="7"/>
      <c r="I179" s="7"/>
      <c r="J179" s="7"/>
      <c r="K179" s="7"/>
      <c r="L179" s="7"/>
      <c r="M179" s="7"/>
      <c r="N179" s="7"/>
      <c r="O179" s="7"/>
      <c r="P179" s="7"/>
      <c r="Q179" s="7"/>
      <c r="R179" s="7"/>
      <c r="S179" s="7"/>
    </row>
    <row r="180" spans="2:19" ht="18.75" customHeight="1">
      <c r="B180" s="7"/>
      <c r="C180" s="7" t="s">
        <v>462</v>
      </c>
      <c r="D180" s="7"/>
      <c r="E180" s="7"/>
      <c r="F180" s="7"/>
      <c r="G180" s="7"/>
      <c r="H180" s="7"/>
      <c r="I180" s="7"/>
      <c r="J180" s="7"/>
      <c r="K180" s="7"/>
      <c r="L180" s="7"/>
      <c r="M180" s="7"/>
      <c r="N180" s="7"/>
      <c r="O180" s="7"/>
      <c r="P180" s="7"/>
      <c r="Q180" s="7"/>
      <c r="R180" s="7"/>
      <c r="S180" s="7"/>
    </row>
    <row r="181" spans="2:19" ht="18.75" customHeight="1">
      <c r="B181" s="7"/>
      <c r="C181" s="4" t="s">
        <v>463</v>
      </c>
      <c r="D181" s="4"/>
      <c r="E181" s="7"/>
      <c r="F181" s="7"/>
      <c r="G181" s="7"/>
      <c r="H181" s="7"/>
      <c r="I181" s="7"/>
      <c r="J181" s="7"/>
      <c r="K181" s="7"/>
      <c r="L181" s="7"/>
      <c r="M181" s="7"/>
      <c r="N181" s="7"/>
      <c r="O181" s="7"/>
      <c r="P181" s="7"/>
      <c r="Q181" s="7"/>
      <c r="R181" s="7"/>
      <c r="S181" s="7"/>
    </row>
    <row r="182" spans="2:19" ht="18.75" customHeight="1">
      <c r="B182" s="7"/>
      <c r="C182" s="7" t="s">
        <v>131</v>
      </c>
      <c r="D182" s="7"/>
      <c r="E182" s="7"/>
      <c r="F182" s="7"/>
      <c r="G182" s="7"/>
      <c r="H182" s="7"/>
      <c r="I182" s="7"/>
      <c r="J182" s="7"/>
      <c r="K182" s="7"/>
      <c r="L182" s="7"/>
      <c r="M182" s="7"/>
      <c r="N182" s="7"/>
      <c r="O182" s="7"/>
      <c r="P182" s="7"/>
      <c r="Q182" s="7"/>
      <c r="R182" s="7"/>
      <c r="S182" s="7"/>
    </row>
    <row r="183" spans="2:19" ht="18.75" customHeight="1">
      <c r="B183" s="7"/>
      <c r="C183" s="4" t="s">
        <v>468</v>
      </c>
      <c r="D183" s="7"/>
      <c r="E183" s="7"/>
      <c r="F183" s="7"/>
      <c r="G183" s="7"/>
      <c r="H183" s="7"/>
      <c r="I183" s="7"/>
      <c r="J183" s="7"/>
      <c r="K183" s="7"/>
      <c r="L183" s="7"/>
      <c r="M183" s="7"/>
      <c r="N183" s="7"/>
      <c r="O183" s="7"/>
      <c r="P183" s="7"/>
      <c r="Q183" s="7"/>
      <c r="R183" s="7"/>
      <c r="S183" s="7"/>
    </row>
    <row r="184" spans="2:19" ht="18.75" customHeight="1">
      <c r="B184" s="7"/>
      <c r="C184" s="189" t="s">
        <v>67</v>
      </c>
      <c r="D184" s="535"/>
      <c r="E184" s="535"/>
      <c r="F184" s="535"/>
      <c r="G184" s="536"/>
      <c r="H184" s="452" t="s">
        <v>464</v>
      </c>
      <c r="I184" s="453"/>
      <c r="J184" s="453"/>
      <c r="K184" s="453"/>
      <c r="L184" s="452" t="s">
        <v>469</v>
      </c>
      <c r="M184" s="453"/>
      <c r="N184" s="453"/>
      <c r="O184" s="453"/>
      <c r="P184" s="452" t="s">
        <v>465</v>
      </c>
      <c r="Q184" s="453"/>
      <c r="R184" s="453"/>
      <c r="S184" s="453"/>
    </row>
    <row r="185" spans="2:19" ht="18.75" customHeight="1">
      <c r="B185" s="7"/>
      <c r="C185" s="380" t="s">
        <v>444</v>
      </c>
      <c r="D185" s="386"/>
      <c r="E185" s="529" t="s">
        <v>440</v>
      </c>
      <c r="F185" s="533"/>
      <c r="G185" s="534"/>
      <c r="H185" s="441">
        <v>150000</v>
      </c>
      <c r="I185" s="441"/>
      <c r="J185" s="441"/>
      <c r="K185" s="441"/>
      <c r="L185" s="441">
        <v>150000</v>
      </c>
      <c r="M185" s="441"/>
      <c r="N185" s="441"/>
      <c r="O185" s="441"/>
      <c r="P185" s="441">
        <v>240000</v>
      </c>
      <c r="Q185" s="441"/>
      <c r="R185" s="441"/>
      <c r="S185" s="441"/>
    </row>
    <row r="186" spans="2:19" ht="18.75" customHeight="1">
      <c r="B186" s="7"/>
      <c r="C186" s="354"/>
      <c r="D186" s="391"/>
      <c r="E186" s="529" t="s">
        <v>441</v>
      </c>
      <c r="F186" s="530"/>
      <c r="G186" s="531"/>
      <c r="H186" s="430">
        <v>180000</v>
      </c>
      <c r="I186" s="431"/>
      <c r="J186" s="431"/>
      <c r="K186" s="432"/>
      <c r="L186" s="430">
        <v>180000</v>
      </c>
      <c r="M186" s="431"/>
      <c r="N186" s="431"/>
      <c r="O186" s="432"/>
      <c r="P186" s="430">
        <v>290000</v>
      </c>
      <c r="Q186" s="431"/>
      <c r="R186" s="431"/>
      <c r="S186" s="432"/>
    </row>
    <row r="187" spans="2:19" ht="18.75" customHeight="1">
      <c r="B187" s="7"/>
      <c r="C187" s="354"/>
      <c r="D187" s="391"/>
      <c r="E187" s="529" t="s">
        <v>442</v>
      </c>
      <c r="F187" s="530"/>
      <c r="G187" s="531"/>
      <c r="H187" s="430">
        <v>200000</v>
      </c>
      <c r="I187" s="431"/>
      <c r="J187" s="431"/>
      <c r="K187" s="432"/>
      <c r="L187" s="430">
        <v>200000</v>
      </c>
      <c r="M187" s="431"/>
      <c r="N187" s="431"/>
      <c r="O187" s="432"/>
      <c r="P187" s="430">
        <v>320000</v>
      </c>
      <c r="Q187" s="431"/>
      <c r="R187" s="431"/>
      <c r="S187" s="432"/>
    </row>
    <row r="188" spans="2:19" ht="18.75" customHeight="1">
      <c r="B188" s="7"/>
      <c r="C188" s="354"/>
      <c r="D188" s="391"/>
      <c r="E188" s="529" t="s">
        <v>443</v>
      </c>
      <c r="F188" s="530"/>
      <c r="G188" s="531"/>
      <c r="H188" s="430">
        <v>230000</v>
      </c>
      <c r="I188" s="431"/>
      <c r="J188" s="431"/>
      <c r="K188" s="432"/>
      <c r="L188" s="430">
        <v>230000</v>
      </c>
      <c r="M188" s="431"/>
      <c r="N188" s="431"/>
      <c r="O188" s="432"/>
      <c r="P188" s="430">
        <v>370000</v>
      </c>
      <c r="Q188" s="431"/>
      <c r="R188" s="431"/>
      <c r="S188" s="432"/>
    </row>
    <row r="189" spans="2:19" ht="18.75" customHeight="1">
      <c r="B189" s="7"/>
      <c r="C189" s="354"/>
      <c r="D189" s="391"/>
      <c r="E189" s="532" t="s">
        <v>445</v>
      </c>
      <c r="F189" s="530"/>
      <c r="G189" s="531"/>
      <c r="H189" s="430">
        <v>250000</v>
      </c>
      <c r="I189" s="431"/>
      <c r="J189" s="431"/>
      <c r="K189" s="432"/>
      <c r="L189" s="430">
        <v>250000</v>
      </c>
      <c r="M189" s="431"/>
      <c r="N189" s="431"/>
      <c r="O189" s="432"/>
      <c r="P189" s="430">
        <v>400000</v>
      </c>
      <c r="Q189" s="431"/>
      <c r="R189" s="431"/>
      <c r="S189" s="432"/>
    </row>
    <row r="190" spans="2:19" ht="18.75" customHeight="1">
      <c r="B190" s="7"/>
      <c r="C190" s="354"/>
      <c r="D190" s="391"/>
      <c r="E190" s="532" t="s">
        <v>446</v>
      </c>
      <c r="F190" s="533"/>
      <c r="G190" s="534"/>
      <c r="H190" s="441">
        <v>280000</v>
      </c>
      <c r="I190" s="441"/>
      <c r="J190" s="441"/>
      <c r="K190" s="441"/>
      <c r="L190" s="441">
        <v>280000</v>
      </c>
      <c r="M190" s="441"/>
      <c r="N190" s="441"/>
      <c r="O190" s="441"/>
      <c r="P190" s="441">
        <v>450000</v>
      </c>
      <c r="Q190" s="441"/>
      <c r="R190" s="441"/>
      <c r="S190" s="441"/>
    </row>
    <row r="191" spans="2:19" ht="18.75" customHeight="1">
      <c r="B191" s="7"/>
      <c r="C191" s="354"/>
      <c r="D191" s="391"/>
      <c r="E191" s="532" t="s">
        <v>447</v>
      </c>
      <c r="F191" s="533"/>
      <c r="G191" s="534"/>
      <c r="H191" s="441">
        <v>300000</v>
      </c>
      <c r="I191" s="441"/>
      <c r="J191" s="441"/>
      <c r="K191" s="441"/>
      <c r="L191" s="441">
        <v>300000</v>
      </c>
      <c r="M191" s="441"/>
      <c r="N191" s="441"/>
      <c r="O191" s="441"/>
      <c r="P191" s="441">
        <v>480000</v>
      </c>
      <c r="Q191" s="441"/>
      <c r="R191" s="441"/>
      <c r="S191" s="441"/>
    </row>
    <row r="192" spans="2:19" ht="18.75" customHeight="1">
      <c r="B192" s="7"/>
      <c r="C192" s="354"/>
      <c r="D192" s="391"/>
      <c r="E192" s="532" t="s">
        <v>448</v>
      </c>
      <c r="F192" s="533"/>
      <c r="G192" s="534"/>
      <c r="H192" s="441">
        <v>350000</v>
      </c>
      <c r="I192" s="441"/>
      <c r="J192" s="441"/>
      <c r="K192" s="441"/>
      <c r="L192" s="441">
        <v>350000</v>
      </c>
      <c r="M192" s="441"/>
      <c r="N192" s="441"/>
      <c r="O192" s="441"/>
      <c r="P192" s="441">
        <v>560000</v>
      </c>
      <c r="Q192" s="441"/>
      <c r="R192" s="441"/>
      <c r="S192" s="441"/>
    </row>
    <row r="193" spans="2:19" ht="18.75" customHeight="1">
      <c r="B193" s="7"/>
      <c r="C193" s="527"/>
      <c r="D193" s="528"/>
      <c r="E193" s="529" t="s">
        <v>449</v>
      </c>
      <c r="F193" s="533"/>
      <c r="G193" s="534"/>
      <c r="H193" s="441">
        <v>400000</v>
      </c>
      <c r="I193" s="441"/>
      <c r="J193" s="441"/>
      <c r="K193" s="441"/>
      <c r="L193" s="441">
        <v>400000</v>
      </c>
      <c r="M193" s="441"/>
      <c r="N193" s="441"/>
      <c r="O193" s="441"/>
      <c r="P193" s="441">
        <v>640000</v>
      </c>
      <c r="Q193" s="441"/>
      <c r="R193" s="441"/>
      <c r="S193" s="441"/>
    </row>
    <row r="194" spans="2:19" ht="18.75" customHeight="1">
      <c r="B194" s="7"/>
      <c r="C194" s="35" t="s">
        <v>144</v>
      </c>
      <c r="D194" s="7" t="s">
        <v>450</v>
      </c>
      <c r="E194" s="7"/>
      <c r="F194" s="7"/>
      <c r="G194" s="7"/>
      <c r="H194" s="7"/>
      <c r="I194" s="7"/>
      <c r="J194" s="7"/>
      <c r="K194" s="7"/>
      <c r="L194" s="7"/>
      <c r="M194" s="7"/>
      <c r="N194" s="7"/>
      <c r="O194" s="7"/>
      <c r="P194" s="7"/>
      <c r="Q194" s="7"/>
      <c r="R194" s="7"/>
      <c r="S194" s="7"/>
    </row>
    <row r="195" spans="2:19" ht="18.75" customHeight="1">
      <c r="B195" s="7"/>
      <c r="C195" s="35" t="s">
        <v>144</v>
      </c>
      <c r="D195" s="7" t="s">
        <v>466</v>
      </c>
      <c r="E195" s="7"/>
      <c r="F195" s="7"/>
      <c r="G195" s="7"/>
      <c r="H195" s="7"/>
      <c r="I195" s="7"/>
      <c r="J195" s="7"/>
      <c r="K195" s="7"/>
      <c r="L195" s="7"/>
      <c r="M195" s="7"/>
      <c r="N195" s="7"/>
      <c r="O195" s="7"/>
      <c r="P195" s="7"/>
      <c r="Q195" s="7"/>
      <c r="R195" s="7"/>
      <c r="S195" s="7"/>
    </row>
    <row r="196" spans="2:19" ht="18.75" customHeight="1">
      <c r="B196" s="7"/>
      <c r="C196" s="35" t="s">
        <v>144</v>
      </c>
      <c r="D196" s="7" t="s">
        <v>132</v>
      </c>
      <c r="E196" s="7"/>
      <c r="F196" s="7"/>
      <c r="G196" s="7"/>
      <c r="H196" s="7"/>
      <c r="I196" s="7"/>
      <c r="J196" s="7"/>
      <c r="K196" s="7"/>
      <c r="L196" s="7"/>
      <c r="M196" s="7"/>
      <c r="N196" s="7"/>
      <c r="O196" s="7"/>
      <c r="P196" s="7"/>
      <c r="Q196" s="7"/>
      <c r="R196" s="7"/>
      <c r="S196" s="7"/>
    </row>
    <row r="197" spans="2:19" ht="18.75" customHeight="1">
      <c r="B197" s="7"/>
      <c r="C197" s="35"/>
      <c r="D197" s="7"/>
      <c r="E197" s="7"/>
      <c r="F197" s="7"/>
      <c r="G197" s="7"/>
      <c r="H197" s="7"/>
      <c r="I197" s="7"/>
      <c r="J197" s="7"/>
      <c r="K197" s="7"/>
      <c r="L197" s="7"/>
      <c r="M197" s="7"/>
      <c r="N197" s="7"/>
      <c r="O197" s="7"/>
      <c r="P197" s="7"/>
      <c r="Q197" s="7"/>
      <c r="R197" s="7"/>
      <c r="S197" s="7"/>
    </row>
    <row r="198" spans="2:19" ht="18.75" customHeight="1">
      <c r="B198" s="7"/>
      <c r="C198" s="7"/>
      <c r="D198" s="7"/>
      <c r="E198" s="7"/>
      <c r="F198" s="7"/>
      <c r="G198" s="7"/>
      <c r="H198" s="7"/>
      <c r="I198" s="7"/>
      <c r="J198" s="7"/>
      <c r="K198" s="7"/>
      <c r="L198" s="7"/>
      <c r="M198" s="7"/>
      <c r="N198" s="7"/>
      <c r="O198" s="7"/>
      <c r="P198" s="7"/>
      <c r="Q198" s="7"/>
      <c r="R198" s="7"/>
      <c r="S198" s="7"/>
    </row>
    <row r="199" spans="23:33" ht="21" customHeight="1">
      <c r="W199" s="74" t="s">
        <v>214</v>
      </c>
      <c r="X199" s="80">
        <v>2</v>
      </c>
      <c r="AC199" s="65">
        <v>0.6</v>
      </c>
      <c r="AD199" s="66">
        <v>0.7</v>
      </c>
      <c r="AE199" s="66">
        <v>0.72</v>
      </c>
      <c r="AF199" s="66">
        <v>0.76</v>
      </c>
      <c r="AG199" s="67">
        <v>0.9</v>
      </c>
    </row>
    <row r="200" spans="23:33" ht="21" customHeight="1">
      <c r="W200" s="75" t="s">
        <v>212</v>
      </c>
      <c r="X200" s="81">
        <v>1.5</v>
      </c>
      <c r="AC200" s="77">
        <v>1</v>
      </c>
      <c r="AD200" s="72">
        <v>1</v>
      </c>
      <c r="AE200" s="72">
        <v>2</v>
      </c>
      <c r="AF200" s="72">
        <v>2</v>
      </c>
      <c r="AG200" s="73">
        <v>3</v>
      </c>
    </row>
    <row r="201" spans="23:32" ht="21" customHeight="1">
      <c r="W201" s="76" t="s">
        <v>213</v>
      </c>
      <c r="X201" s="82">
        <v>1.2</v>
      </c>
      <c r="AA201" s="65">
        <v>0</v>
      </c>
      <c r="AB201" s="67">
        <v>1</v>
      </c>
      <c r="AC201" s="69"/>
      <c r="AD201" s="1">
        <v>1</v>
      </c>
      <c r="AE201" s="1">
        <v>2</v>
      </c>
      <c r="AF201" s="1">
        <v>3</v>
      </c>
    </row>
    <row r="202" spans="23:32" ht="21" customHeight="1">
      <c r="W202" s="78"/>
      <c r="X202" s="78"/>
      <c r="AA202" s="68">
        <v>0.411</v>
      </c>
      <c r="AB202" s="70">
        <v>2</v>
      </c>
      <c r="AC202" s="69">
        <v>1</v>
      </c>
      <c r="AD202" s="65">
        <v>2</v>
      </c>
      <c r="AE202" s="66">
        <v>2.2</v>
      </c>
      <c r="AF202" s="67">
        <v>2.4</v>
      </c>
    </row>
    <row r="203" spans="27:32" ht="21" customHeight="1">
      <c r="AA203" s="68">
        <v>0.511</v>
      </c>
      <c r="AB203" s="70">
        <v>3</v>
      </c>
      <c r="AC203" s="69">
        <v>2</v>
      </c>
      <c r="AD203" s="68">
        <v>1.5</v>
      </c>
      <c r="AE203" s="69">
        <v>1.7</v>
      </c>
      <c r="AF203" s="70">
        <v>1.8</v>
      </c>
    </row>
    <row r="204" spans="27:32" ht="21" customHeight="1">
      <c r="AA204" s="68">
        <v>0.611</v>
      </c>
      <c r="AB204" s="70">
        <v>4</v>
      </c>
      <c r="AC204" s="69">
        <v>3</v>
      </c>
      <c r="AD204" s="68">
        <v>1.2</v>
      </c>
      <c r="AE204" s="69">
        <v>1.3</v>
      </c>
      <c r="AF204" s="70">
        <v>1.4</v>
      </c>
    </row>
    <row r="205" spans="27:32" ht="21" customHeight="1">
      <c r="AA205" s="68">
        <v>0.721</v>
      </c>
      <c r="AB205" s="70">
        <v>5</v>
      </c>
      <c r="AC205" s="69">
        <v>4</v>
      </c>
      <c r="AD205" s="68">
        <v>1</v>
      </c>
      <c r="AE205" s="69">
        <v>1.1</v>
      </c>
      <c r="AF205" s="70">
        <v>1.2</v>
      </c>
    </row>
    <row r="206" spans="27:32" ht="21" customHeight="1">
      <c r="AA206" s="77">
        <v>0.9</v>
      </c>
      <c r="AB206" s="73">
        <v>5</v>
      </c>
      <c r="AC206" s="69">
        <v>5</v>
      </c>
      <c r="AD206" s="71" t="s">
        <v>170</v>
      </c>
      <c r="AE206" s="72">
        <v>1</v>
      </c>
      <c r="AF206" s="73">
        <v>1</v>
      </c>
    </row>
    <row r="207" ht="21" customHeight="1">
      <c r="AC207" s="69"/>
    </row>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sheetData>
  <sheetProtection sheet="1" objects="1" scenarios="1"/>
  <mergeCells count="461">
    <mergeCell ref="P192:S192"/>
    <mergeCell ref="H193:K193"/>
    <mergeCell ref="L193:O193"/>
    <mergeCell ref="C184:G184"/>
    <mergeCell ref="E185:G185"/>
    <mergeCell ref="E193:G193"/>
    <mergeCell ref="E189:G189"/>
    <mergeCell ref="E190:G190"/>
    <mergeCell ref="E186:G186"/>
    <mergeCell ref="E187:G187"/>
    <mergeCell ref="E188:G188"/>
    <mergeCell ref="E191:G191"/>
    <mergeCell ref="E192:G192"/>
    <mergeCell ref="H190:K190"/>
    <mergeCell ref="H191:K191"/>
    <mergeCell ref="L190:O190"/>
    <mergeCell ref="P190:S190"/>
    <mergeCell ref="L191:O191"/>
    <mergeCell ref="C185:D193"/>
    <mergeCell ref="P193:S193"/>
    <mergeCell ref="P191:S191"/>
    <mergeCell ref="H192:K192"/>
    <mergeCell ref="L192:O192"/>
    <mergeCell ref="L188:O188"/>
    <mergeCell ref="L189:O189"/>
    <mergeCell ref="H186:K186"/>
    <mergeCell ref="H187:K187"/>
    <mergeCell ref="H189:K189"/>
    <mergeCell ref="H188:K188"/>
    <mergeCell ref="N33:P33"/>
    <mergeCell ref="U157:U158"/>
    <mergeCell ref="U159:U160"/>
    <mergeCell ref="U149:U150"/>
    <mergeCell ref="U151:U152"/>
    <mergeCell ref="U153:U154"/>
    <mergeCell ref="U155:U156"/>
    <mergeCell ref="E2:Q2"/>
    <mergeCell ref="C51:C53"/>
    <mergeCell ref="C54:C55"/>
    <mergeCell ref="D50:R50"/>
    <mergeCell ref="D51:D52"/>
    <mergeCell ref="K48:N48"/>
    <mergeCell ref="M43:N43"/>
    <mergeCell ref="O43:P43"/>
    <mergeCell ref="N41:O41"/>
    <mergeCell ref="J30:L30"/>
    <mergeCell ref="R148:S148"/>
    <mergeCell ref="P149:P150"/>
    <mergeCell ref="Q149:Q150"/>
    <mergeCell ref="M114:O114"/>
    <mergeCell ref="J77:Q77"/>
    <mergeCell ref="N147:O147"/>
    <mergeCell ref="H126:J126"/>
    <mergeCell ref="R144:S147"/>
    <mergeCell ref="N149:O150"/>
    <mergeCell ref="L159:L160"/>
    <mergeCell ref="M157:M158"/>
    <mergeCell ref="M159:M160"/>
    <mergeCell ref="R153:S154"/>
    <mergeCell ref="N153:O154"/>
    <mergeCell ref="N159:O160"/>
    <mergeCell ref="C93:I93"/>
    <mergeCell ref="J93:Q93"/>
    <mergeCell ref="K137:L137"/>
    <mergeCell ref="M137:O137"/>
    <mergeCell ref="M116:N116"/>
    <mergeCell ref="P151:P152"/>
    <mergeCell ref="P128:R128"/>
    <mergeCell ref="P127:R127"/>
    <mergeCell ref="Q151:Q152"/>
    <mergeCell ref="Q155:Q156"/>
    <mergeCell ref="N148:O148"/>
    <mergeCell ref="L153:L154"/>
    <mergeCell ref="M155:M156"/>
    <mergeCell ref="R155:S156"/>
    <mergeCell ref="N155:O156"/>
    <mergeCell ref="R149:S150"/>
    <mergeCell ref="R151:S152"/>
    <mergeCell ref="C92:I92"/>
    <mergeCell ref="J92:Q92"/>
    <mergeCell ref="J155:K156"/>
    <mergeCell ref="J157:K158"/>
    <mergeCell ref="H127:J127"/>
    <mergeCell ref="K127:L127"/>
    <mergeCell ref="H128:J128"/>
    <mergeCell ref="K128:L128"/>
    <mergeCell ref="H139:J139"/>
    <mergeCell ref="L139:N139"/>
    <mergeCell ref="G17:H17"/>
    <mergeCell ref="G18:H18"/>
    <mergeCell ref="G19:H19"/>
    <mergeCell ref="G20:H20"/>
    <mergeCell ref="G22:H22"/>
    <mergeCell ref="L144:Q144"/>
    <mergeCell ref="F144:K147"/>
    <mergeCell ref="N146:O146"/>
    <mergeCell ref="K126:L126"/>
    <mergeCell ref="M126:O126"/>
    <mergeCell ref="M127:O127"/>
    <mergeCell ref="M128:O128"/>
    <mergeCell ref="E139:F139"/>
    <mergeCell ref="J151:K152"/>
    <mergeCell ref="L149:L150"/>
    <mergeCell ref="L151:L152"/>
    <mergeCell ref="C151:E152"/>
    <mergeCell ref="C144:E147"/>
    <mergeCell ref="M133:O133"/>
    <mergeCell ref="K133:L133"/>
    <mergeCell ref="J153:K154"/>
    <mergeCell ref="Q145:Q146"/>
    <mergeCell ref="N145:P145"/>
    <mergeCell ref="Q153:Q154"/>
    <mergeCell ref="N151:O152"/>
    <mergeCell ref="P186:S186"/>
    <mergeCell ref="G169:J169"/>
    <mergeCell ref="G170:J170"/>
    <mergeCell ref="H155:H156"/>
    <mergeCell ref="H157:H158"/>
    <mergeCell ref="P187:S187"/>
    <mergeCell ref="L186:O186"/>
    <mergeCell ref="L187:O187"/>
    <mergeCell ref="M149:M150"/>
    <mergeCell ref="M151:M152"/>
    <mergeCell ref="M153:M154"/>
    <mergeCell ref="P155:P156"/>
    <mergeCell ref="K171:M171"/>
    <mergeCell ref="K168:M168"/>
    <mergeCell ref="N168:Q168"/>
    <mergeCell ref="L155:L156"/>
    <mergeCell ref="Q159:Q160"/>
    <mergeCell ref="H184:K184"/>
    <mergeCell ref="L184:O184"/>
    <mergeCell ref="P184:S184"/>
    <mergeCell ref="R159:S160"/>
    <mergeCell ref="N171:Q171"/>
    <mergeCell ref="R157:S158"/>
    <mergeCell ref="L157:L158"/>
    <mergeCell ref="N157:O158"/>
    <mergeCell ref="K170:M170"/>
    <mergeCell ref="H185:K185"/>
    <mergeCell ref="L185:O185"/>
    <mergeCell ref="P185:S185"/>
    <mergeCell ref="H159:H160"/>
    <mergeCell ref="J159:K160"/>
    <mergeCell ref="F161:Q161"/>
    <mergeCell ref="R161:S161"/>
    <mergeCell ref="N166:Q166"/>
    <mergeCell ref="K167:M167"/>
    <mergeCell ref="N167:Q167"/>
    <mergeCell ref="G165:Q165"/>
    <mergeCell ref="G171:J171"/>
    <mergeCell ref="G168:J168"/>
    <mergeCell ref="N170:Q170"/>
    <mergeCell ref="K169:M169"/>
    <mergeCell ref="N169:Q169"/>
    <mergeCell ref="P188:S188"/>
    <mergeCell ref="P189:S189"/>
    <mergeCell ref="P129:R129"/>
    <mergeCell ref="P133:R133"/>
    <mergeCell ref="P139:R139"/>
    <mergeCell ref="P137:R137"/>
    <mergeCell ref="P157:P158"/>
    <mergeCell ref="Q157:Q158"/>
    <mergeCell ref="P159:P160"/>
    <mergeCell ref="P153:P154"/>
    <mergeCell ref="P123:R123"/>
    <mergeCell ref="H125:J125"/>
    <mergeCell ref="K125:L125"/>
    <mergeCell ref="M125:O125"/>
    <mergeCell ref="H124:J124"/>
    <mergeCell ref="K124:L124"/>
    <mergeCell ref="M124:O124"/>
    <mergeCell ref="P126:R126"/>
    <mergeCell ref="P124:R124"/>
    <mergeCell ref="P125:R125"/>
    <mergeCell ref="H119:J119"/>
    <mergeCell ref="K122:L122"/>
    <mergeCell ref="M122:O122"/>
    <mergeCell ref="P122:R122"/>
    <mergeCell ref="H120:J120"/>
    <mergeCell ref="K120:L120"/>
    <mergeCell ref="M120:O120"/>
    <mergeCell ref="P121:R121"/>
    <mergeCell ref="K119:L119"/>
    <mergeCell ref="M119:O119"/>
    <mergeCell ref="P119:R119"/>
    <mergeCell ref="R90:S90"/>
    <mergeCell ref="R91:S91"/>
    <mergeCell ref="R94:S94"/>
    <mergeCell ref="P101:R101"/>
    <mergeCell ref="P88:Q89"/>
    <mergeCell ref="P100:R100"/>
    <mergeCell ref="J91:Q91"/>
    <mergeCell ref="R92:S92"/>
    <mergeCell ref="R93:S93"/>
    <mergeCell ref="K100:L100"/>
    <mergeCell ref="M100:O100"/>
    <mergeCell ref="N88:N89"/>
    <mergeCell ref="R88:S89"/>
    <mergeCell ref="H101:J101"/>
    <mergeCell ref="M101:O101"/>
    <mergeCell ref="K101:L101"/>
    <mergeCell ref="K102:L102"/>
    <mergeCell ref="M102:O102"/>
    <mergeCell ref="D110:H110"/>
    <mergeCell ref="M107:O107"/>
    <mergeCell ref="C101:G101"/>
    <mergeCell ref="J31:L31"/>
    <mergeCell ref="G33:I33"/>
    <mergeCell ref="K99:L99"/>
    <mergeCell ref="J90:Q90"/>
    <mergeCell ref="P61:Q62"/>
    <mergeCell ref="P66:Q67"/>
    <mergeCell ref="P74:Q75"/>
    <mergeCell ref="P80:Q81"/>
    <mergeCell ref="J68:M69"/>
    <mergeCell ref="P82:Q83"/>
    <mergeCell ref="R70:S70"/>
    <mergeCell ref="R71:S71"/>
    <mergeCell ref="R78:S78"/>
    <mergeCell ref="R79:S79"/>
    <mergeCell ref="R84:S85"/>
    <mergeCell ref="R86:S87"/>
    <mergeCell ref="J74:M75"/>
    <mergeCell ref="J80:M81"/>
    <mergeCell ref="J72:M73"/>
    <mergeCell ref="D79:I79"/>
    <mergeCell ref="J76:Q76"/>
    <mergeCell ref="N74:N75"/>
    <mergeCell ref="N80:N81"/>
    <mergeCell ref="J22:O22"/>
    <mergeCell ref="H100:J100"/>
    <mergeCell ref="J78:Q78"/>
    <mergeCell ref="G82:I83"/>
    <mergeCell ref="G84:I85"/>
    <mergeCell ref="G86:I87"/>
    <mergeCell ref="G88:I89"/>
    <mergeCell ref="C100:G100"/>
    <mergeCell ref="D82:F85"/>
    <mergeCell ref="C91:I91"/>
    <mergeCell ref="C153:E154"/>
    <mergeCell ref="C74:C81"/>
    <mergeCell ref="N82:N83"/>
    <mergeCell ref="C82:C89"/>
    <mergeCell ref="N84:N85"/>
    <mergeCell ref="D74:I75"/>
    <mergeCell ref="D80:I81"/>
    <mergeCell ref="J79:Q79"/>
    <mergeCell ref="J88:M89"/>
    <mergeCell ref="N86:N87"/>
    <mergeCell ref="C123:G123"/>
    <mergeCell ref="C124:G124"/>
    <mergeCell ref="P109:R109"/>
    <mergeCell ref="P110:R110"/>
    <mergeCell ref="I110:K110"/>
    <mergeCell ref="I111:K111"/>
    <mergeCell ref="K116:L116"/>
    <mergeCell ref="D111:H111"/>
    <mergeCell ref="G114:H114"/>
    <mergeCell ref="P120:R120"/>
    <mergeCell ref="Q64:Q65"/>
    <mergeCell ref="G21:H21"/>
    <mergeCell ref="H121:J121"/>
    <mergeCell ref="H123:J123"/>
    <mergeCell ref="K123:L123"/>
    <mergeCell ref="M123:O123"/>
    <mergeCell ref="K121:L121"/>
    <mergeCell ref="M121:O121"/>
    <mergeCell ref="C120:G120"/>
    <mergeCell ref="C119:G119"/>
    <mergeCell ref="C99:G99"/>
    <mergeCell ref="C102:G102"/>
    <mergeCell ref="C103:G103"/>
    <mergeCell ref="J19:M19"/>
    <mergeCell ref="D72:I73"/>
    <mergeCell ref="D60:I60"/>
    <mergeCell ref="D63:I63"/>
    <mergeCell ref="C59:I59"/>
    <mergeCell ref="J20:Q20"/>
    <mergeCell ref="J21:Q21"/>
    <mergeCell ref="C121:G121"/>
    <mergeCell ref="J148:K148"/>
    <mergeCell ref="D76:I76"/>
    <mergeCell ref="D77:I77"/>
    <mergeCell ref="D78:I78"/>
    <mergeCell ref="C126:G126"/>
    <mergeCell ref="C108:G108"/>
    <mergeCell ref="C106:G106"/>
    <mergeCell ref="C107:G107"/>
    <mergeCell ref="D86:F89"/>
    <mergeCell ref="H105:J105"/>
    <mergeCell ref="C110:C111"/>
    <mergeCell ref="F151:G152"/>
    <mergeCell ref="C127:G127"/>
    <mergeCell ref="C128:G128"/>
    <mergeCell ref="C148:E148"/>
    <mergeCell ref="C149:E150"/>
    <mergeCell ref="H149:H150"/>
    <mergeCell ref="H151:H152"/>
    <mergeCell ref="C125:G125"/>
    <mergeCell ref="F159:G160"/>
    <mergeCell ref="C155:E156"/>
    <mergeCell ref="C157:E158"/>
    <mergeCell ref="C94:I94"/>
    <mergeCell ref="H102:J102"/>
    <mergeCell ref="C122:G122"/>
    <mergeCell ref="H104:J104"/>
    <mergeCell ref="C104:G104"/>
    <mergeCell ref="C105:G105"/>
    <mergeCell ref="H122:J122"/>
    <mergeCell ref="R59:S59"/>
    <mergeCell ref="D70:I70"/>
    <mergeCell ref="D61:I62"/>
    <mergeCell ref="D64:I65"/>
    <mergeCell ref="D66:I67"/>
    <mergeCell ref="D68:I69"/>
    <mergeCell ref="J64:M65"/>
    <mergeCell ref="R66:S67"/>
    <mergeCell ref="R68:S69"/>
    <mergeCell ref="P68:Q69"/>
    <mergeCell ref="N61:N62"/>
    <mergeCell ref="C60:C63"/>
    <mergeCell ref="C64:C73"/>
    <mergeCell ref="N64:N65"/>
    <mergeCell ref="D71:I71"/>
    <mergeCell ref="J71:Q71"/>
    <mergeCell ref="N66:N67"/>
    <mergeCell ref="N68:N69"/>
    <mergeCell ref="J66:M67"/>
    <mergeCell ref="N72:N73"/>
    <mergeCell ref="R63:S63"/>
    <mergeCell ref="R61:S62"/>
    <mergeCell ref="C90:I90"/>
    <mergeCell ref="R72:S73"/>
    <mergeCell ref="R74:S75"/>
    <mergeCell ref="R80:S81"/>
    <mergeCell ref="R82:S83"/>
    <mergeCell ref="R76:S76"/>
    <mergeCell ref="R77:S77"/>
    <mergeCell ref="R64:S65"/>
    <mergeCell ref="N37:O37"/>
    <mergeCell ref="N38:O38"/>
    <mergeCell ref="R17:S17"/>
    <mergeCell ref="R18:S18"/>
    <mergeCell ref="J18:M18"/>
    <mergeCell ref="N18:Q18"/>
    <mergeCell ref="O17:P17"/>
    <mergeCell ref="J17:K17"/>
    <mergeCell ref="M17:N17"/>
    <mergeCell ref="N19:Q19"/>
    <mergeCell ref="J70:Q70"/>
    <mergeCell ref="P72:Q73"/>
    <mergeCell ref="N39:O39"/>
    <mergeCell ref="D35:L35"/>
    <mergeCell ref="D36:L36"/>
    <mergeCell ref="D37:L37"/>
    <mergeCell ref="D38:L38"/>
    <mergeCell ref="D39:L39"/>
    <mergeCell ref="M35:M36"/>
    <mergeCell ref="N35:O36"/>
    <mergeCell ref="H99:J99"/>
    <mergeCell ref="R23:S23"/>
    <mergeCell ref="J23:Q23"/>
    <mergeCell ref="J94:Q94"/>
    <mergeCell ref="S51:S52"/>
    <mergeCell ref="P84:Q85"/>
    <mergeCell ref="P86:Q87"/>
    <mergeCell ref="J59:Q59"/>
    <mergeCell ref="J82:M83"/>
    <mergeCell ref="J84:M85"/>
    <mergeCell ref="K104:L104"/>
    <mergeCell ref="M104:O104"/>
    <mergeCell ref="P104:R104"/>
    <mergeCell ref="R60:S60"/>
    <mergeCell ref="P99:R99"/>
    <mergeCell ref="M99:O99"/>
    <mergeCell ref="J86:M87"/>
    <mergeCell ref="J61:M62"/>
    <mergeCell ref="J60:Q60"/>
    <mergeCell ref="J63:Q63"/>
    <mergeCell ref="P105:R105"/>
    <mergeCell ref="K105:L105"/>
    <mergeCell ref="M105:O105"/>
    <mergeCell ref="K107:L107"/>
    <mergeCell ref="H107:J107"/>
    <mergeCell ref="P102:R102"/>
    <mergeCell ref="K103:L103"/>
    <mergeCell ref="H103:J103"/>
    <mergeCell ref="M103:O103"/>
    <mergeCell ref="P103:R103"/>
    <mergeCell ref="K108:L108"/>
    <mergeCell ref="H108:J108"/>
    <mergeCell ref="M108:O108"/>
    <mergeCell ref="P108:R108"/>
    <mergeCell ref="P107:R107"/>
    <mergeCell ref="K106:L106"/>
    <mergeCell ref="H106:J106"/>
    <mergeCell ref="M106:O106"/>
    <mergeCell ref="P106:R106"/>
    <mergeCell ref="C168:F168"/>
    <mergeCell ref="L145:M145"/>
    <mergeCell ref="F153:G154"/>
    <mergeCell ref="F149:G150"/>
    <mergeCell ref="C159:E160"/>
    <mergeCell ref="C161:E161"/>
    <mergeCell ref="F155:G156"/>
    <mergeCell ref="H153:H154"/>
    <mergeCell ref="J149:K150"/>
    <mergeCell ref="F157:G158"/>
    <mergeCell ref="C169:F169"/>
    <mergeCell ref="C170:F170"/>
    <mergeCell ref="C171:F171"/>
    <mergeCell ref="Q116:R116"/>
    <mergeCell ref="F148:I148"/>
    <mergeCell ref="C165:F166"/>
    <mergeCell ref="C167:F167"/>
    <mergeCell ref="G166:J166"/>
    <mergeCell ref="K166:M166"/>
    <mergeCell ref="G167:J167"/>
    <mergeCell ref="D4:E4"/>
    <mergeCell ref="D5:E5"/>
    <mergeCell ref="D6:E6"/>
    <mergeCell ref="F4:Q4"/>
    <mergeCell ref="F5:Q5"/>
    <mergeCell ref="F6:H6"/>
    <mergeCell ref="I6:Q6"/>
    <mergeCell ref="F14:I14"/>
    <mergeCell ref="D8:E8"/>
    <mergeCell ref="D9:E9"/>
    <mergeCell ref="D10:E10"/>
    <mergeCell ref="D12:E12"/>
    <mergeCell ref="F11:I11"/>
    <mergeCell ref="F12:I12"/>
    <mergeCell ref="K7:L7"/>
    <mergeCell ref="M7:Q7"/>
    <mergeCell ref="D7:E7"/>
    <mergeCell ref="D13:E14"/>
    <mergeCell ref="F13:I13"/>
    <mergeCell ref="F9:G9"/>
    <mergeCell ref="F10:G10"/>
    <mergeCell ref="F7:J7"/>
    <mergeCell ref="J8:J14"/>
    <mergeCell ref="D11:E11"/>
    <mergeCell ref="M15:Q15"/>
    <mergeCell ref="K15:L15"/>
    <mergeCell ref="D26:R26"/>
    <mergeCell ref="D27:R27"/>
    <mergeCell ref="R24:S24"/>
    <mergeCell ref="P22:Q22"/>
    <mergeCell ref="R19:S19"/>
    <mergeCell ref="R20:S20"/>
    <mergeCell ref="R21:S21"/>
    <mergeCell ref="R22:S22"/>
    <mergeCell ref="C175:F175"/>
    <mergeCell ref="C176:F176"/>
    <mergeCell ref="C177:F177"/>
    <mergeCell ref="G174:J174"/>
    <mergeCell ref="G175:J175"/>
    <mergeCell ref="G176:J176"/>
    <mergeCell ref="G177:J177"/>
    <mergeCell ref="C174:F174"/>
  </mergeCells>
  <conditionalFormatting sqref="K48:N48">
    <cfRule type="expression" priority="1" dxfId="10" stopIfTrue="1">
      <formula>OR($G$46="",$Q$46="")</formula>
    </cfRule>
  </conditionalFormatting>
  <conditionalFormatting sqref="S51:S52">
    <cfRule type="expression" priority="2" dxfId="1" stopIfTrue="1">
      <formula>COUNTA($S$53:$S$56)&gt;0</formula>
    </cfRule>
  </conditionalFormatting>
  <conditionalFormatting sqref="S53">
    <cfRule type="expression" priority="3" dxfId="1" stopIfTrue="1">
      <formula>COUNTA($S$51,$S$54:$S$56)&gt;0</formula>
    </cfRule>
  </conditionalFormatting>
  <conditionalFormatting sqref="S54">
    <cfRule type="expression" priority="4" dxfId="1" stopIfTrue="1">
      <formula>COUNTA($S$51:$S$53,$S$55:$S$56)&gt;0</formula>
    </cfRule>
  </conditionalFormatting>
  <conditionalFormatting sqref="S55">
    <cfRule type="expression" priority="5" dxfId="1" stopIfTrue="1">
      <formula>COUNTA($S$51:$S$54,$S$56)&gt;0</formula>
    </cfRule>
  </conditionalFormatting>
  <conditionalFormatting sqref="S56">
    <cfRule type="expression" priority="6" dxfId="1" stopIfTrue="1">
      <formula>COUNTA($S$51:$S$55)&gt;0</formula>
    </cfRule>
  </conditionalFormatting>
  <conditionalFormatting sqref="R60:S90">
    <cfRule type="expression" priority="7" dxfId="18" stopIfTrue="1">
      <formula>ISNUMBER($R$91)</formula>
    </cfRule>
  </conditionalFormatting>
  <dataValidations count="8">
    <dataValidation type="list" allowBlank="1" showInputMessage="1" showErrorMessage="1" sqref="M35:M39 Q8:Q12">
      <formula1>"○"</formula1>
    </dataValidation>
    <dataValidation type="list" allowBlank="1" showErrorMessage="1" sqref="K48:N48">
      <formula1>IF(OR($G$46="",$Q$46=""),$W$199:$W$201,$U$45)</formula1>
    </dataValidation>
    <dataValidation type="list" allowBlank="1" showErrorMessage="1" sqref="N33:P33">
      <formula1>"2次診断,2+3次診断"</formula1>
    </dataValidation>
    <dataValidation type="list" allowBlank="1" showInputMessage="1" showErrorMessage="1" sqref="S56">
      <formula1>IF(COUNTA($S$51:$S$55)=0,$U$57,$U$49)</formula1>
    </dataValidation>
    <dataValidation type="list" allowBlank="1" showInputMessage="1" showErrorMessage="1" sqref="S55">
      <formula1>IF(COUNTA($S$51:$S$54,$S$56)=0,$U$57,$U$49)</formula1>
    </dataValidation>
    <dataValidation type="list" allowBlank="1" showInputMessage="1" showErrorMessage="1" sqref="S54">
      <formula1>IF(COUNTA($S$51:$S$53,$S$55:$S$56)=0,$U$57,$U$49)</formula1>
    </dataValidation>
    <dataValidation type="list" allowBlank="1" showInputMessage="1" showErrorMessage="1" sqref="S53">
      <formula1>IF(COUNTA($S$51,$S$54:$S$56)=0,$U$57,$U$49)</formula1>
    </dataValidation>
    <dataValidation type="list" allowBlank="1" showInputMessage="1" showErrorMessage="1" sqref="S51:S52">
      <formula1>IF(COUNTA($S$53:$S$56)=0,$U$57,$U$49)</formula1>
    </dataValidation>
  </dataValidations>
  <printOptions/>
  <pageMargins left="0.7086614173228347" right="0" top="0.7874015748031497" bottom="0" header="0" footer="0.3937007874015748"/>
  <pageSetup horizontalDpi="600" verticalDpi="600" orientation="portrait" paperSize="9" scale="78" r:id="rId1"/>
  <headerFooter alignWithMargins="0">
    <oddFooter>&amp;C- &amp;P -</oddFooter>
  </headerFooter>
  <rowBreaks count="3" manualBreakCount="3">
    <brk id="28" max="255" man="1"/>
    <brk id="95" max="255" man="1"/>
    <brk id="140" max="255" man="1"/>
  </rowBreaks>
</worksheet>
</file>

<file path=xl/worksheets/sheet3.xml><?xml version="1.0" encoding="utf-8"?>
<worksheet xmlns="http://schemas.openxmlformats.org/spreadsheetml/2006/main" xmlns:r="http://schemas.openxmlformats.org/officeDocument/2006/relationships">
  <dimension ref="B1:AJ215"/>
  <sheetViews>
    <sheetView showRowColHeaders="0" zoomScaleSheetLayoutView="100" zoomScalePageLayoutView="0" workbookViewId="0" topLeftCell="A88">
      <selection activeCell="A1" sqref="A1"/>
    </sheetView>
  </sheetViews>
  <sheetFormatPr defaultColWidth="8.75390625" defaultRowHeight="19.5" customHeight="1"/>
  <cols>
    <col min="1" max="1" width="2.75390625" style="1" customWidth="1"/>
    <col min="2" max="2" width="4.75390625" style="1" customWidth="1"/>
    <col min="3" max="3" width="6.75390625" style="1" customWidth="1"/>
    <col min="4" max="4" width="8.75390625" style="1" customWidth="1"/>
    <col min="5" max="5" width="12.75390625" style="1" customWidth="1"/>
    <col min="6" max="6" width="7.75390625" style="1" customWidth="1"/>
    <col min="7" max="7" width="6.75390625" style="1" customWidth="1"/>
    <col min="8" max="8" width="1.875" style="1" customWidth="1"/>
    <col min="9" max="10" width="6.75390625" style="1" customWidth="1"/>
    <col min="11" max="11" width="7.75390625" style="1" customWidth="1"/>
    <col min="12" max="13" width="6.75390625" style="1" customWidth="1"/>
    <col min="14" max="14" width="1.875" style="1" customWidth="1"/>
    <col min="15" max="15" width="6.75390625" style="1" customWidth="1"/>
    <col min="16" max="17" width="7.75390625" style="1" customWidth="1"/>
    <col min="18" max="19" width="8.75390625" style="1" customWidth="1"/>
    <col min="20" max="20" width="2.75390625" style="1" customWidth="1"/>
    <col min="21" max="22" width="8.75390625" style="1" hidden="1" customWidth="1"/>
    <col min="23" max="23" width="20.75390625" style="1" hidden="1" customWidth="1"/>
    <col min="24" max="24" width="4.75390625" style="1" hidden="1" customWidth="1"/>
    <col min="25" max="26" width="2.75390625" style="1" hidden="1" customWidth="1"/>
    <col min="27" max="27" width="5.75390625" style="1" hidden="1" customWidth="1"/>
    <col min="28" max="33" width="4.75390625" style="1" hidden="1" customWidth="1"/>
    <col min="34" max="16384" width="8.75390625" style="1" customWidth="1"/>
  </cols>
  <sheetData>
    <row r="1" spans="5:11" ht="19.5" customHeight="1">
      <c r="E1" s="1" t="s">
        <v>386</v>
      </c>
      <c r="K1" s="1" t="s">
        <v>387</v>
      </c>
    </row>
    <row r="2" spans="2:34" ht="24" customHeight="1">
      <c r="B2" s="2"/>
      <c r="C2" s="2"/>
      <c r="D2" s="2"/>
      <c r="E2" s="509" t="s">
        <v>385</v>
      </c>
      <c r="F2" s="510"/>
      <c r="G2" s="510"/>
      <c r="H2" s="510"/>
      <c r="I2" s="510"/>
      <c r="J2" s="510"/>
      <c r="K2" s="510"/>
      <c r="L2" s="510"/>
      <c r="M2" s="510"/>
      <c r="N2" s="510"/>
      <c r="O2" s="510"/>
      <c r="P2" s="510"/>
      <c r="Q2" s="510"/>
      <c r="R2" s="2"/>
      <c r="S2" s="2"/>
      <c r="AH2" s="1" t="s">
        <v>390</v>
      </c>
    </row>
    <row r="3" spans="2:19" ht="24" customHeight="1">
      <c r="B3" s="2"/>
      <c r="C3" s="2"/>
      <c r="D3" s="2"/>
      <c r="E3" s="2"/>
      <c r="F3" s="2"/>
      <c r="G3" s="2"/>
      <c r="H3" s="2"/>
      <c r="I3" s="2"/>
      <c r="J3" s="2"/>
      <c r="K3" s="2"/>
      <c r="L3" s="2"/>
      <c r="M3" s="2"/>
      <c r="N3" s="2"/>
      <c r="O3" s="2"/>
      <c r="P3" s="2"/>
      <c r="Q3" s="2"/>
      <c r="R3" s="2"/>
      <c r="S3" s="2"/>
    </row>
    <row r="4" spans="2:36" ht="24" customHeight="1">
      <c r="B4" s="2"/>
      <c r="C4" s="2"/>
      <c r="D4" s="189" t="s">
        <v>220</v>
      </c>
      <c r="E4" s="151"/>
      <c r="F4" s="166"/>
      <c r="G4" s="167"/>
      <c r="H4" s="167"/>
      <c r="I4" s="167"/>
      <c r="J4" s="167"/>
      <c r="K4" s="167"/>
      <c r="L4" s="167"/>
      <c r="M4" s="167"/>
      <c r="N4" s="167"/>
      <c r="O4" s="167"/>
      <c r="P4" s="167"/>
      <c r="Q4" s="168"/>
      <c r="R4" s="2"/>
      <c r="S4" s="2"/>
      <c r="AI4" s="134"/>
      <c r="AJ4" s="1" t="s">
        <v>393</v>
      </c>
    </row>
    <row r="5" spans="2:36" ht="24" customHeight="1">
      <c r="B5" s="2"/>
      <c r="C5" s="2"/>
      <c r="D5" s="150" t="s">
        <v>227</v>
      </c>
      <c r="E5" s="151"/>
      <c r="F5" s="166"/>
      <c r="G5" s="167"/>
      <c r="H5" s="167"/>
      <c r="I5" s="167"/>
      <c r="J5" s="167"/>
      <c r="K5" s="167"/>
      <c r="L5" s="167"/>
      <c r="M5" s="167"/>
      <c r="N5" s="167"/>
      <c r="O5" s="167"/>
      <c r="P5" s="167"/>
      <c r="Q5" s="168"/>
      <c r="R5" s="2"/>
      <c r="S5" s="2"/>
      <c r="AI5" s="135"/>
      <c r="AJ5" s="1" t="s">
        <v>394</v>
      </c>
    </row>
    <row r="6" spans="2:36" ht="24" customHeight="1">
      <c r="B6" s="2"/>
      <c r="C6" s="2"/>
      <c r="D6" s="150" t="s">
        <v>228</v>
      </c>
      <c r="E6" s="151"/>
      <c r="F6" s="190" t="s">
        <v>221</v>
      </c>
      <c r="G6" s="191"/>
      <c r="H6" s="191"/>
      <c r="I6" s="192"/>
      <c r="J6" s="192"/>
      <c r="K6" s="192"/>
      <c r="L6" s="192"/>
      <c r="M6" s="192"/>
      <c r="N6" s="192"/>
      <c r="O6" s="192"/>
      <c r="P6" s="192"/>
      <c r="Q6" s="193"/>
      <c r="R6" s="2"/>
      <c r="S6" s="2"/>
      <c r="AI6" s="136"/>
      <c r="AJ6" s="1" t="s">
        <v>395</v>
      </c>
    </row>
    <row r="7" spans="2:35" ht="24" customHeight="1">
      <c r="B7" s="2"/>
      <c r="C7" s="2"/>
      <c r="D7" s="150" t="s">
        <v>229</v>
      </c>
      <c r="E7" s="151"/>
      <c r="F7" s="166"/>
      <c r="G7" s="167"/>
      <c r="H7" s="167"/>
      <c r="I7" s="167"/>
      <c r="J7" s="167"/>
      <c r="K7" s="150" t="s">
        <v>233</v>
      </c>
      <c r="L7" s="151"/>
      <c r="M7" s="166"/>
      <c r="N7" s="167"/>
      <c r="O7" s="167"/>
      <c r="P7" s="167"/>
      <c r="Q7" s="168"/>
      <c r="R7" s="2"/>
      <c r="S7" s="2"/>
      <c r="AI7" s="1" t="s">
        <v>396</v>
      </c>
    </row>
    <row r="8" spans="2:36" ht="24" customHeight="1">
      <c r="B8" s="2"/>
      <c r="C8" s="2"/>
      <c r="D8" s="150" t="s">
        <v>230</v>
      </c>
      <c r="E8" s="151"/>
      <c r="F8" s="94" t="s">
        <v>223</v>
      </c>
      <c r="G8" s="95"/>
      <c r="H8" s="96" t="s">
        <v>224</v>
      </c>
      <c r="I8" s="97"/>
      <c r="J8" s="179" t="s">
        <v>388</v>
      </c>
      <c r="K8" s="87" t="s">
        <v>197</v>
      </c>
      <c r="L8" s="100"/>
      <c r="M8" s="100"/>
      <c r="N8" s="100"/>
      <c r="O8" s="100"/>
      <c r="P8" s="104"/>
      <c r="Q8" s="102"/>
      <c r="R8" s="2"/>
      <c r="S8" s="2"/>
      <c r="AI8" s="133"/>
      <c r="AJ8" s="1" t="s">
        <v>403</v>
      </c>
    </row>
    <row r="9" spans="2:36" ht="24" customHeight="1">
      <c r="B9" s="2"/>
      <c r="C9" s="2"/>
      <c r="D9" s="150" t="s">
        <v>231</v>
      </c>
      <c r="E9" s="151"/>
      <c r="F9" s="176"/>
      <c r="G9" s="177"/>
      <c r="H9" s="98" t="s">
        <v>225</v>
      </c>
      <c r="I9" s="99"/>
      <c r="J9" s="180"/>
      <c r="K9" s="105" t="s">
        <v>234</v>
      </c>
      <c r="L9" s="58"/>
      <c r="M9" s="58"/>
      <c r="N9" s="58"/>
      <c r="O9" s="58"/>
      <c r="P9" s="59"/>
      <c r="Q9" s="103"/>
      <c r="R9" s="2"/>
      <c r="S9" s="2"/>
      <c r="AJ9" s="133" t="s">
        <v>405</v>
      </c>
    </row>
    <row r="10" spans="2:36" ht="24" customHeight="1">
      <c r="B10" s="2"/>
      <c r="C10" s="2"/>
      <c r="D10" s="150" t="s">
        <v>232</v>
      </c>
      <c r="E10" s="151"/>
      <c r="F10" s="162"/>
      <c r="G10" s="178"/>
      <c r="H10" s="98" t="s">
        <v>253</v>
      </c>
      <c r="I10" s="99"/>
      <c r="J10" s="180"/>
      <c r="K10" s="105" t="s">
        <v>235</v>
      </c>
      <c r="L10" s="58"/>
      <c r="M10" s="58"/>
      <c r="N10" s="58"/>
      <c r="O10" s="58"/>
      <c r="P10" s="59"/>
      <c r="Q10" s="103"/>
      <c r="R10" s="2"/>
      <c r="S10" s="2"/>
      <c r="AJ10" s="137" t="s">
        <v>404</v>
      </c>
    </row>
    <row r="11" spans="2:36" ht="24" customHeight="1">
      <c r="B11" s="2"/>
      <c r="C11" s="2"/>
      <c r="D11" s="150"/>
      <c r="E11" s="151"/>
      <c r="F11" s="186"/>
      <c r="G11" s="187"/>
      <c r="H11" s="187"/>
      <c r="I11" s="188"/>
      <c r="J11" s="180"/>
      <c r="K11" s="129" t="s">
        <v>363</v>
      </c>
      <c r="L11" s="113"/>
      <c r="M11" s="113"/>
      <c r="N11" s="113"/>
      <c r="O11" s="113"/>
      <c r="P11" s="114"/>
      <c r="Q11" s="130"/>
      <c r="R11" s="2"/>
      <c r="S11" s="2"/>
      <c r="AI11" s="133" t="s">
        <v>408</v>
      </c>
      <c r="AJ11" s="133"/>
    </row>
    <row r="12" spans="2:35" ht="24" customHeight="1">
      <c r="B12" s="2"/>
      <c r="C12" s="2"/>
      <c r="D12" s="150"/>
      <c r="E12" s="151"/>
      <c r="F12" s="186"/>
      <c r="G12" s="187"/>
      <c r="H12" s="187"/>
      <c r="I12" s="188"/>
      <c r="J12" s="180"/>
      <c r="K12" s="89" t="s">
        <v>193</v>
      </c>
      <c r="L12" s="58"/>
      <c r="M12" s="58"/>
      <c r="N12" s="58"/>
      <c r="O12" s="58"/>
      <c r="P12" s="59"/>
      <c r="Q12" s="103"/>
      <c r="R12" s="2"/>
      <c r="S12" s="2"/>
      <c r="AI12" s="1" t="s">
        <v>397</v>
      </c>
    </row>
    <row r="13" spans="2:36" ht="24" customHeight="1">
      <c r="B13" s="2"/>
      <c r="C13" s="2"/>
      <c r="D13" s="169" t="s">
        <v>361</v>
      </c>
      <c r="E13" s="170"/>
      <c r="F13" s="173" t="s">
        <v>362</v>
      </c>
      <c r="G13" s="174"/>
      <c r="H13" s="174"/>
      <c r="I13" s="175"/>
      <c r="J13" s="181"/>
      <c r="K13" s="89" t="s">
        <v>222</v>
      </c>
      <c r="L13" s="58"/>
      <c r="M13" s="58"/>
      <c r="N13" s="58"/>
      <c r="O13" s="58"/>
      <c r="P13" s="59"/>
      <c r="Q13" s="103"/>
      <c r="R13" s="2"/>
      <c r="S13" s="2"/>
      <c r="AJ13" s="1" t="s">
        <v>398</v>
      </c>
    </row>
    <row r="14" spans="2:19" ht="24" customHeight="1">
      <c r="B14" s="2"/>
      <c r="C14" s="2"/>
      <c r="D14" s="171"/>
      <c r="E14" s="172"/>
      <c r="F14" s="183">
        <v>26200</v>
      </c>
      <c r="G14" s="184"/>
      <c r="H14" s="184"/>
      <c r="I14" s="185"/>
      <c r="J14" s="182"/>
      <c r="K14" s="88"/>
      <c r="L14" s="101"/>
      <c r="M14" s="101"/>
      <c r="N14" s="101"/>
      <c r="O14" s="101"/>
      <c r="P14" s="106"/>
      <c r="Q14" s="139"/>
      <c r="R14" s="2"/>
      <c r="S14" s="2"/>
    </row>
    <row r="15" spans="2:19" ht="24" customHeight="1">
      <c r="B15" s="2"/>
      <c r="C15" s="2"/>
      <c r="D15" s="53"/>
      <c r="E15" s="53"/>
      <c r="F15" s="93"/>
      <c r="G15" s="90"/>
      <c r="H15" s="2"/>
      <c r="I15" s="2"/>
      <c r="J15" s="2"/>
      <c r="K15" s="150" t="s">
        <v>237</v>
      </c>
      <c r="L15" s="151"/>
      <c r="M15" s="147">
        <f>IF(R23="","",R23)</f>
      </c>
      <c r="N15" s="148"/>
      <c r="O15" s="148"/>
      <c r="P15" s="148"/>
      <c r="Q15" s="149"/>
      <c r="R15" s="2"/>
      <c r="S15" s="2"/>
    </row>
    <row r="16" spans="2:19" ht="24" customHeight="1">
      <c r="B16" s="2"/>
      <c r="C16" s="2" t="s">
        <v>239</v>
      </c>
      <c r="D16" s="53"/>
      <c r="E16" s="53"/>
      <c r="F16" s="93"/>
      <c r="G16" s="90"/>
      <c r="H16" s="2"/>
      <c r="I16" s="2"/>
      <c r="J16" s="2"/>
      <c r="K16" s="52"/>
      <c r="L16" s="53"/>
      <c r="M16" s="2"/>
      <c r="N16" s="2"/>
      <c r="O16" s="2"/>
      <c r="P16" s="2"/>
      <c r="Q16" s="2"/>
      <c r="R16" s="2"/>
      <c r="S16" s="2"/>
    </row>
    <row r="17" spans="2:35" ht="24" customHeight="1">
      <c r="B17" s="7"/>
      <c r="C17" s="19" t="s">
        <v>16</v>
      </c>
      <c r="D17" s="12"/>
      <c r="E17" s="12"/>
      <c r="F17" s="12"/>
      <c r="G17" s="296" t="s">
        <v>70</v>
      </c>
      <c r="H17" s="368"/>
      <c r="I17" s="107" t="s">
        <v>254</v>
      </c>
      <c r="J17" s="150" t="s">
        <v>451</v>
      </c>
      <c r="K17" s="296"/>
      <c r="L17" s="142">
        <f>IF(R93="","",R93)</f>
      </c>
      <c r="M17" s="297" t="s">
        <v>453</v>
      </c>
      <c r="N17" s="298"/>
      <c r="O17" s="294">
        <f>IF(OR(F14="",R93=""),"",F14)</f>
      </c>
      <c r="P17" s="295"/>
      <c r="Q17" s="143" t="s">
        <v>452</v>
      </c>
      <c r="R17" s="159">
        <f>IF(R93="","",L17*O17)</f>
      </c>
      <c r="S17" s="156"/>
      <c r="AI17" s="133"/>
    </row>
    <row r="18" spans="2:35" ht="24" customHeight="1">
      <c r="B18" s="7"/>
      <c r="C18" s="42" t="s">
        <v>17</v>
      </c>
      <c r="D18" s="24"/>
      <c r="E18" s="24"/>
      <c r="F18" s="24"/>
      <c r="G18" s="471" t="s">
        <v>329</v>
      </c>
      <c r="H18" s="472"/>
      <c r="I18" s="43" t="s">
        <v>97</v>
      </c>
      <c r="J18" s="289" t="s">
        <v>330</v>
      </c>
      <c r="K18" s="290"/>
      <c r="L18" s="290"/>
      <c r="M18" s="290"/>
      <c r="N18" s="291">
        <v>0.92</v>
      </c>
      <c r="O18" s="292"/>
      <c r="P18" s="292"/>
      <c r="Q18" s="293"/>
      <c r="R18" s="287">
        <f>IF(R93="","",ROUNDDOWN(R17*N18,-2))</f>
      </c>
      <c r="S18" s="288"/>
      <c r="AI18" s="133" t="s">
        <v>406</v>
      </c>
    </row>
    <row r="19" spans="2:35" ht="24" customHeight="1">
      <c r="B19" s="7"/>
      <c r="C19" s="19" t="s">
        <v>18</v>
      </c>
      <c r="D19" s="12"/>
      <c r="E19" s="12"/>
      <c r="F19" s="12"/>
      <c r="G19" s="367" t="s">
        <v>255</v>
      </c>
      <c r="H19" s="368"/>
      <c r="I19" s="14" t="s">
        <v>97</v>
      </c>
      <c r="J19" s="289" t="s">
        <v>256</v>
      </c>
      <c r="K19" s="290"/>
      <c r="L19" s="290"/>
      <c r="M19" s="290"/>
      <c r="N19" s="291">
        <v>0.2</v>
      </c>
      <c r="O19" s="292"/>
      <c r="P19" s="292"/>
      <c r="Q19" s="293"/>
      <c r="R19" s="159">
        <f>IF(R93="","",ROUNDDOWN((R17+R18)*N19,-2))</f>
      </c>
      <c r="S19" s="156"/>
      <c r="AI19" s="133" t="s">
        <v>407</v>
      </c>
    </row>
    <row r="20" spans="2:19" ht="24" customHeight="1">
      <c r="B20" s="7"/>
      <c r="C20" s="44" t="s">
        <v>19</v>
      </c>
      <c r="D20" s="28"/>
      <c r="E20" s="28"/>
      <c r="F20" s="28"/>
      <c r="G20" s="362" t="s">
        <v>257</v>
      </c>
      <c r="H20" s="473"/>
      <c r="I20" s="45" t="s">
        <v>97</v>
      </c>
      <c r="J20" s="362" t="s">
        <v>32</v>
      </c>
      <c r="K20" s="241"/>
      <c r="L20" s="241"/>
      <c r="M20" s="241"/>
      <c r="N20" s="241"/>
      <c r="O20" s="241"/>
      <c r="P20" s="241"/>
      <c r="Q20" s="241"/>
      <c r="R20" s="160">
        <f>IF(R17="","",IF(P147="",0,P147))</f>
      </c>
      <c r="S20" s="161"/>
    </row>
    <row r="21" spans="2:35" ht="24" customHeight="1">
      <c r="B21" s="7"/>
      <c r="C21" s="19" t="s">
        <v>20</v>
      </c>
      <c r="D21" s="12"/>
      <c r="E21" s="12"/>
      <c r="F21" s="12"/>
      <c r="G21" s="367" t="s">
        <v>258</v>
      </c>
      <c r="H21" s="368"/>
      <c r="I21" s="14" t="s">
        <v>97</v>
      </c>
      <c r="J21" s="363" t="s">
        <v>252</v>
      </c>
      <c r="K21" s="364"/>
      <c r="L21" s="364"/>
      <c r="M21" s="364"/>
      <c r="N21" s="364"/>
      <c r="O21" s="364"/>
      <c r="P21" s="364"/>
      <c r="Q21" s="364"/>
      <c r="R21" s="162">
        <v>0</v>
      </c>
      <c r="S21" s="163"/>
      <c r="AI21" s="133" t="s">
        <v>399</v>
      </c>
    </row>
    <row r="22" spans="2:35" ht="24" customHeight="1" thickBot="1">
      <c r="B22" s="7"/>
      <c r="C22" s="20" t="s">
        <v>21</v>
      </c>
      <c r="D22" s="13"/>
      <c r="E22" s="13"/>
      <c r="F22" s="13"/>
      <c r="G22" s="474" t="s">
        <v>259</v>
      </c>
      <c r="H22" s="475"/>
      <c r="I22" s="15" t="s">
        <v>97</v>
      </c>
      <c r="J22" s="383" t="s">
        <v>260</v>
      </c>
      <c r="K22" s="384"/>
      <c r="L22" s="384"/>
      <c r="M22" s="384"/>
      <c r="N22" s="384"/>
      <c r="O22" s="384"/>
      <c r="P22" s="157">
        <v>0.05</v>
      </c>
      <c r="Q22" s="158"/>
      <c r="R22" s="164">
        <f>IF(R93="","",INT(SUM(R17:S21)*P22))</f>
      </c>
      <c r="S22" s="165"/>
      <c r="AI22" s="1" t="s">
        <v>400</v>
      </c>
    </row>
    <row r="23" spans="2:19" ht="24" customHeight="1" thickTop="1">
      <c r="B23" s="7"/>
      <c r="C23" s="21" t="s">
        <v>22</v>
      </c>
      <c r="D23" s="16"/>
      <c r="E23" s="16"/>
      <c r="F23" s="16"/>
      <c r="G23" s="16"/>
      <c r="H23" s="16"/>
      <c r="I23" s="17"/>
      <c r="J23" s="582" t="s">
        <v>33</v>
      </c>
      <c r="K23" s="583"/>
      <c r="L23" s="583"/>
      <c r="M23" s="583"/>
      <c r="N23" s="583"/>
      <c r="O23" s="583"/>
      <c r="P23" s="583"/>
      <c r="Q23" s="584"/>
      <c r="R23" s="238">
        <f>IF(R93="","",SUM(R17:S22))</f>
      </c>
      <c r="S23" s="239"/>
    </row>
    <row r="24" spans="2:19" ht="24" customHeight="1">
      <c r="B24" s="7"/>
      <c r="C24" s="19" t="s">
        <v>23</v>
      </c>
      <c r="D24" s="12"/>
      <c r="E24" s="12"/>
      <c r="F24" s="12"/>
      <c r="G24" s="12"/>
      <c r="H24" s="12"/>
      <c r="I24" s="18"/>
      <c r="J24" s="12"/>
      <c r="K24" s="12"/>
      <c r="L24" s="12"/>
      <c r="M24" s="12"/>
      <c r="N24" s="12"/>
      <c r="O24" s="12"/>
      <c r="P24" s="12"/>
      <c r="Q24" s="12"/>
      <c r="R24" s="155">
        <f>IF(R93="","",SUM(R17:S21))</f>
      </c>
      <c r="S24" s="156"/>
    </row>
    <row r="25" spans="2:19" ht="24" customHeight="1">
      <c r="B25" s="7"/>
      <c r="C25" s="31"/>
      <c r="D25" s="7"/>
      <c r="E25" s="7"/>
      <c r="F25" s="7"/>
      <c r="G25" s="7"/>
      <c r="H25" s="7"/>
      <c r="I25" s="7"/>
      <c r="J25" s="7"/>
      <c r="K25" s="7"/>
      <c r="L25" s="7"/>
      <c r="M25" s="7"/>
      <c r="N25" s="7"/>
      <c r="O25" s="7"/>
      <c r="P25" s="7"/>
      <c r="Q25" s="7"/>
      <c r="R25" s="49"/>
      <c r="S25" s="49"/>
    </row>
    <row r="26" spans="2:19" ht="30" customHeight="1">
      <c r="B26" s="7"/>
      <c r="C26" s="31"/>
      <c r="D26" s="152" t="s">
        <v>240</v>
      </c>
      <c r="E26" s="153"/>
      <c r="F26" s="153"/>
      <c r="G26" s="153"/>
      <c r="H26" s="153"/>
      <c r="I26" s="153"/>
      <c r="J26" s="153"/>
      <c r="K26" s="153"/>
      <c r="L26" s="153"/>
      <c r="M26" s="153"/>
      <c r="N26" s="153"/>
      <c r="O26" s="153"/>
      <c r="P26" s="153"/>
      <c r="Q26" s="153"/>
      <c r="R26" s="154"/>
      <c r="S26" s="49"/>
    </row>
    <row r="27" spans="2:19" ht="30" customHeight="1">
      <c r="B27" s="7"/>
      <c r="C27" s="31"/>
      <c r="D27" s="152" t="s">
        <v>460</v>
      </c>
      <c r="E27" s="153"/>
      <c r="F27" s="153"/>
      <c r="G27" s="153"/>
      <c r="H27" s="153"/>
      <c r="I27" s="153"/>
      <c r="J27" s="153"/>
      <c r="K27" s="153"/>
      <c r="L27" s="153"/>
      <c r="M27" s="153"/>
      <c r="N27" s="153"/>
      <c r="O27" s="153"/>
      <c r="P27" s="153"/>
      <c r="Q27" s="153"/>
      <c r="R27" s="154"/>
      <c r="S27" s="49"/>
    </row>
    <row r="28" spans="2:19" ht="21" customHeight="1">
      <c r="B28" s="7"/>
      <c r="C28" s="31"/>
      <c r="D28" s="7"/>
      <c r="E28" s="7"/>
      <c r="F28" s="7"/>
      <c r="G28" s="7"/>
      <c r="H28" s="7"/>
      <c r="I28" s="7"/>
      <c r="J28" s="7"/>
      <c r="K28" s="7"/>
      <c r="L28" s="7"/>
      <c r="M28" s="7"/>
      <c r="N28" s="7"/>
      <c r="O28" s="7"/>
      <c r="P28" s="7"/>
      <c r="Q28" s="7"/>
      <c r="R28" s="49"/>
      <c r="S28" s="49"/>
    </row>
    <row r="29" spans="2:19" ht="18.75" customHeight="1">
      <c r="B29" s="2"/>
      <c r="C29" s="4" t="s">
        <v>236</v>
      </c>
      <c r="D29" s="7"/>
      <c r="E29" s="7"/>
      <c r="F29" s="7"/>
      <c r="G29" s="2"/>
      <c r="H29" s="2"/>
      <c r="I29" s="2"/>
      <c r="J29" s="2"/>
      <c r="K29" s="2"/>
      <c r="L29" s="2"/>
      <c r="M29" s="2"/>
      <c r="N29" s="2"/>
      <c r="O29" s="2"/>
      <c r="P29" s="2"/>
      <c r="Q29" s="2"/>
      <c r="R29" s="2"/>
      <c r="S29" s="2"/>
    </row>
    <row r="30" spans="2:19" ht="18.75" customHeight="1">
      <c r="B30" s="7"/>
      <c r="C30" s="7"/>
      <c r="D30" s="7" t="s">
        <v>24</v>
      </c>
      <c r="E30" s="7"/>
      <c r="F30" s="7"/>
      <c r="G30" s="7"/>
      <c r="H30" s="7"/>
      <c r="I30" s="7"/>
      <c r="J30" s="159">
        <f>IF(F10="","",F10)</f>
      </c>
      <c r="K30" s="155"/>
      <c r="L30" s="156"/>
      <c r="M30" s="4" t="s">
        <v>261</v>
      </c>
      <c r="N30" s="23" t="s">
        <v>72</v>
      </c>
      <c r="O30" s="6"/>
      <c r="P30" s="6"/>
      <c r="Q30" s="24"/>
      <c r="R30" s="24"/>
      <c r="S30" s="25"/>
    </row>
    <row r="31" spans="2:19" ht="18.75" customHeight="1">
      <c r="B31" s="7"/>
      <c r="C31" s="7"/>
      <c r="D31" s="7" t="s">
        <v>25</v>
      </c>
      <c r="E31" s="7"/>
      <c r="F31" s="7"/>
      <c r="G31" s="7"/>
      <c r="H31" s="7"/>
      <c r="I31" s="7"/>
      <c r="J31" s="401">
        <f>IF(F9="","",F9)</f>
      </c>
      <c r="K31" s="402"/>
      <c r="L31" s="403"/>
      <c r="M31" s="4" t="s">
        <v>98</v>
      </c>
      <c r="N31" s="26" t="s">
        <v>73</v>
      </c>
      <c r="O31" s="27"/>
      <c r="P31" s="27"/>
      <c r="Q31" s="28"/>
      <c r="R31" s="28"/>
      <c r="S31" s="29"/>
    </row>
    <row r="32" spans="2:19" ht="6" customHeight="1">
      <c r="B32" s="7"/>
      <c r="C32" s="7"/>
      <c r="D32" s="7"/>
      <c r="E32" s="7"/>
      <c r="F32" s="7"/>
      <c r="G32" s="7"/>
      <c r="H32" s="7"/>
      <c r="I32" s="7"/>
      <c r="J32" s="7"/>
      <c r="K32" s="7"/>
      <c r="L32" s="7"/>
      <c r="M32" s="4"/>
      <c r="N32" s="33"/>
      <c r="O32" s="33"/>
      <c r="P32" s="33"/>
      <c r="Q32" s="16"/>
      <c r="R32" s="16"/>
      <c r="S32" s="16"/>
    </row>
    <row r="33" spans="2:19" ht="18.75" customHeight="1">
      <c r="B33" s="7"/>
      <c r="C33" s="7"/>
      <c r="D33" s="7" t="s">
        <v>26</v>
      </c>
      <c r="E33" s="7"/>
      <c r="F33" s="7"/>
      <c r="G33" s="7"/>
      <c r="H33" s="30" t="s">
        <v>353</v>
      </c>
      <c r="I33" s="34" t="s">
        <v>341</v>
      </c>
      <c r="J33" s="140">
        <f>IF(AND($Q$8="",$Q$13=""),"",ROUND(U35,2))</f>
      </c>
      <c r="K33" s="34" t="s">
        <v>355</v>
      </c>
      <c r="L33" s="56">
        <f>IF(AND($Q$8="",$Q$13=""),"",U36)</f>
      </c>
      <c r="M33" s="34" t="s">
        <v>356</v>
      </c>
      <c r="N33" s="541">
        <f>IF(AND($Q$8="",$Q$13=""),"",U37)</f>
      </c>
      <c r="O33" s="542"/>
      <c r="P33" s="31" t="s">
        <v>354</v>
      </c>
      <c r="Q33" s="404">
        <f>IF(COUNT(J33,L33,N33)&lt;3,"",ROUND(J33*L33*N33,2))</f>
      </c>
      <c r="R33" s="406"/>
      <c r="S33" s="7"/>
    </row>
    <row r="34" spans="2:19" ht="6" customHeight="1">
      <c r="B34" s="7"/>
      <c r="C34" s="7"/>
      <c r="D34" s="7"/>
      <c r="E34" s="7"/>
      <c r="F34" s="7"/>
      <c r="G34" s="7"/>
      <c r="H34" s="7"/>
      <c r="I34" s="7"/>
      <c r="J34" s="7"/>
      <c r="K34" s="7"/>
      <c r="L34" s="7"/>
      <c r="M34" s="7"/>
      <c r="N34" s="7"/>
      <c r="O34" s="7"/>
      <c r="P34" s="7"/>
      <c r="Q34" s="7"/>
      <c r="R34" s="7"/>
      <c r="S34" s="7"/>
    </row>
    <row r="35" spans="2:35" ht="18" customHeight="1">
      <c r="B35" s="7"/>
      <c r="C35" s="514" t="s">
        <v>348</v>
      </c>
      <c r="D35" s="545" t="s">
        <v>27</v>
      </c>
      <c r="E35" s="546"/>
      <c r="F35" s="546"/>
      <c r="G35" s="546"/>
      <c r="H35" s="546"/>
      <c r="I35" s="547"/>
      <c r="J35" s="245"/>
      <c r="K35" s="562" t="s">
        <v>349</v>
      </c>
      <c r="L35" s="514" t="s">
        <v>351</v>
      </c>
      <c r="M35" s="585" t="s">
        <v>344</v>
      </c>
      <c r="N35" s="585"/>
      <c r="O35" s="585"/>
      <c r="P35" s="585"/>
      <c r="Q35" s="586"/>
      <c r="R35" s="92"/>
      <c r="S35" s="124" t="s">
        <v>350</v>
      </c>
      <c r="U35" s="79">
        <f>IF(ISTEXT(J35),K35,1)*IF(ISTEXT(J37),K37,1)*IF(ISTEXT(J38),K38,1)</f>
        <v>1</v>
      </c>
      <c r="AI35" s="133" t="s">
        <v>431</v>
      </c>
    </row>
    <row r="36" spans="2:35" ht="18" customHeight="1">
      <c r="B36" s="7"/>
      <c r="C36" s="565"/>
      <c r="D36" s="567" t="s">
        <v>342</v>
      </c>
      <c r="E36" s="568"/>
      <c r="F36" s="568"/>
      <c r="G36" s="568"/>
      <c r="H36" s="568"/>
      <c r="I36" s="569"/>
      <c r="J36" s="564"/>
      <c r="K36" s="563"/>
      <c r="L36" s="566"/>
      <c r="M36" s="587" t="s">
        <v>345</v>
      </c>
      <c r="N36" s="576"/>
      <c r="O36" s="576"/>
      <c r="P36" s="576"/>
      <c r="Q36" s="577"/>
      <c r="R36" s="41"/>
      <c r="S36" s="91">
        <v>1.3</v>
      </c>
      <c r="U36" s="79">
        <f>IF(ISTEXT(R35),S35,1)*IF(ISTEXT(R36),S36,1)</f>
        <v>1</v>
      </c>
      <c r="AI36" s="133" t="s">
        <v>427</v>
      </c>
    </row>
    <row r="37" spans="2:35" ht="18" customHeight="1">
      <c r="B37" s="7"/>
      <c r="C37" s="565"/>
      <c r="D37" s="320" t="s">
        <v>29</v>
      </c>
      <c r="E37" s="570"/>
      <c r="F37" s="570"/>
      <c r="G37" s="570"/>
      <c r="H37" s="570"/>
      <c r="I37" s="571"/>
      <c r="J37" s="40"/>
      <c r="K37" s="125" t="s">
        <v>349</v>
      </c>
      <c r="L37" s="578" t="s">
        <v>352</v>
      </c>
      <c r="M37" s="462" t="s">
        <v>346</v>
      </c>
      <c r="N37" s="462"/>
      <c r="O37" s="462"/>
      <c r="P37" s="462"/>
      <c r="Q37" s="574"/>
      <c r="R37" s="121"/>
      <c r="S37" s="127" t="s">
        <v>350</v>
      </c>
      <c r="U37" s="79">
        <f>IF(ISTEXT(R37),S37,1)*IF(ISTEXT(R38),S38,1)</f>
        <v>1</v>
      </c>
      <c r="AI37" s="133" t="s">
        <v>428</v>
      </c>
    </row>
    <row r="38" spans="2:21" ht="18" customHeight="1">
      <c r="B38" s="7"/>
      <c r="C38" s="566"/>
      <c r="D38" s="360" t="s">
        <v>30</v>
      </c>
      <c r="E38" s="572"/>
      <c r="F38" s="572"/>
      <c r="G38" s="572"/>
      <c r="H38" s="572"/>
      <c r="I38" s="573"/>
      <c r="J38" s="41"/>
      <c r="K38" s="126" t="s">
        <v>343</v>
      </c>
      <c r="L38" s="566"/>
      <c r="M38" s="575" t="s">
        <v>347</v>
      </c>
      <c r="N38" s="576"/>
      <c r="O38" s="576"/>
      <c r="P38" s="576"/>
      <c r="Q38" s="577"/>
      <c r="R38" s="41"/>
      <c r="S38" s="126" t="s">
        <v>343</v>
      </c>
      <c r="U38" s="1">
        <f>IF(N38="","",IF(M38="○",N38,""))</f>
      </c>
    </row>
    <row r="39" spans="2:19" ht="6" customHeight="1">
      <c r="B39" s="7"/>
      <c r="C39" s="7"/>
      <c r="D39" s="108"/>
      <c r="E39" s="108"/>
      <c r="F39" s="108"/>
      <c r="G39" s="108"/>
      <c r="H39" s="108"/>
      <c r="I39" s="108"/>
      <c r="J39" s="108"/>
      <c r="K39" s="108"/>
      <c r="L39" s="108"/>
      <c r="M39" s="108"/>
      <c r="N39" s="108"/>
      <c r="O39" s="108"/>
      <c r="P39" s="108"/>
      <c r="Q39" s="108"/>
      <c r="R39" s="7"/>
      <c r="S39" s="7"/>
    </row>
    <row r="40" spans="2:35" ht="18.75" customHeight="1">
      <c r="B40" s="2"/>
      <c r="C40" s="4"/>
      <c r="D40" s="4" t="s">
        <v>191</v>
      </c>
      <c r="E40" s="7"/>
      <c r="F40" s="7"/>
      <c r="G40" s="2"/>
      <c r="H40" s="2"/>
      <c r="I40" s="2"/>
      <c r="J40" s="2"/>
      <c r="K40" s="51"/>
      <c r="L40" s="2" t="s">
        <v>122</v>
      </c>
      <c r="M40" s="2" t="s">
        <v>360</v>
      </c>
      <c r="N40" s="2"/>
      <c r="O40" s="2"/>
      <c r="P40" s="2"/>
      <c r="Q40" s="2"/>
      <c r="R40" s="2"/>
      <c r="S40" s="2"/>
      <c r="AI40" s="133" t="s">
        <v>429</v>
      </c>
    </row>
    <row r="41" spans="2:35" ht="18.75" customHeight="1">
      <c r="B41" s="2"/>
      <c r="C41" s="4"/>
      <c r="D41" s="4" t="s">
        <v>192</v>
      </c>
      <c r="E41" s="7"/>
      <c r="F41" s="7"/>
      <c r="G41" s="2"/>
      <c r="H41" s="2"/>
      <c r="I41" s="2"/>
      <c r="J41" s="2"/>
      <c r="K41" s="51"/>
      <c r="L41" s="2" t="s">
        <v>105</v>
      </c>
      <c r="M41" s="2"/>
      <c r="N41" s="2"/>
      <c r="O41" s="2"/>
      <c r="P41" s="2"/>
      <c r="Q41" s="2"/>
      <c r="R41" s="2"/>
      <c r="S41" s="2"/>
      <c r="AI41" s="133" t="s">
        <v>430</v>
      </c>
    </row>
    <row r="42" spans="2:19" ht="18.75" customHeight="1">
      <c r="B42" s="2"/>
      <c r="C42" s="4"/>
      <c r="D42" s="4" t="s">
        <v>363</v>
      </c>
      <c r="E42" s="7"/>
      <c r="F42" s="7"/>
      <c r="G42" s="2"/>
      <c r="H42" s="2"/>
      <c r="I42" s="2"/>
      <c r="J42" s="2"/>
      <c r="K42" s="51"/>
      <c r="L42" s="2" t="s">
        <v>105</v>
      </c>
      <c r="M42" s="2"/>
      <c r="N42" s="519" t="s">
        <v>418</v>
      </c>
      <c r="O42" s="520"/>
      <c r="P42" s="162"/>
      <c r="Q42" s="163"/>
      <c r="R42" s="2" t="s">
        <v>194</v>
      </c>
      <c r="S42" s="2"/>
    </row>
    <row r="43" spans="2:19" ht="18.75" customHeight="1">
      <c r="B43" s="2"/>
      <c r="C43" s="4"/>
      <c r="D43" s="4" t="s">
        <v>193</v>
      </c>
      <c r="E43" s="7"/>
      <c r="F43" s="7"/>
      <c r="G43" s="2"/>
      <c r="H43" s="2"/>
      <c r="I43" s="2"/>
      <c r="J43" s="2"/>
      <c r="K43" s="51"/>
      <c r="L43" s="2" t="s">
        <v>105</v>
      </c>
      <c r="M43" s="2"/>
      <c r="N43" s="519" t="s">
        <v>216</v>
      </c>
      <c r="O43" s="520"/>
      <c r="P43" s="162"/>
      <c r="Q43" s="163"/>
      <c r="R43" s="2" t="s">
        <v>194</v>
      </c>
      <c r="S43" s="2"/>
    </row>
    <row r="44" spans="2:19" ht="18.75" customHeight="1">
      <c r="B44" s="2"/>
      <c r="C44" s="4"/>
      <c r="D44" s="4"/>
      <c r="E44" s="4" t="s">
        <v>364</v>
      </c>
      <c r="F44" s="7"/>
      <c r="G44" s="2"/>
      <c r="H44" s="2"/>
      <c r="I44" s="2"/>
      <c r="J44" s="2"/>
      <c r="K44" s="2"/>
      <c r="L44" s="2"/>
      <c r="M44" s="2"/>
      <c r="N44" s="2"/>
      <c r="O44" s="2"/>
      <c r="P44" s="2"/>
      <c r="Q44" s="2"/>
      <c r="R44" s="2"/>
      <c r="S44" s="2"/>
    </row>
    <row r="45" spans="2:19" ht="18.75" customHeight="1">
      <c r="B45" s="2"/>
      <c r="C45" s="4" t="s">
        <v>238</v>
      </c>
      <c r="D45" s="7"/>
      <c r="E45" s="7"/>
      <c r="F45" s="7"/>
      <c r="G45" s="2"/>
      <c r="H45" s="2"/>
      <c r="I45" s="2"/>
      <c r="J45" s="2"/>
      <c r="K45" s="2"/>
      <c r="L45" s="2"/>
      <c r="M45" s="2"/>
      <c r="N45" s="2"/>
      <c r="O45" s="2"/>
      <c r="P45" s="2"/>
      <c r="Q45" s="2"/>
      <c r="R45" s="2"/>
      <c r="S45" s="2"/>
    </row>
    <row r="46" spans="2:35" ht="18.75" customHeight="1">
      <c r="B46" s="2"/>
      <c r="C46" s="4" t="s">
        <v>208</v>
      </c>
      <c r="D46" s="4"/>
      <c r="E46" s="7"/>
      <c r="F46" s="30" t="s">
        <v>262</v>
      </c>
      <c r="G46" s="63"/>
      <c r="H46" s="2"/>
      <c r="I46" s="2"/>
      <c r="J46" s="2" t="s">
        <v>173</v>
      </c>
      <c r="K46" s="2"/>
      <c r="L46" s="2"/>
      <c r="M46" s="2"/>
      <c r="N46" s="2"/>
      <c r="O46" s="2"/>
      <c r="P46" s="30" t="s">
        <v>263</v>
      </c>
      <c r="Q46" s="63"/>
      <c r="R46" s="2"/>
      <c r="S46" s="2"/>
      <c r="U46" s="79">
        <f>IF(G46="","",VLOOKUP(G46,AA209:AB214,2))</f>
      </c>
      <c r="AI46" s="133" t="s">
        <v>412</v>
      </c>
    </row>
    <row r="47" spans="2:35" ht="18.75" customHeight="1">
      <c r="B47" s="2"/>
      <c r="C47" s="4"/>
      <c r="D47" s="4" t="s">
        <v>211</v>
      </c>
      <c r="E47" s="7"/>
      <c r="F47" s="7"/>
      <c r="G47" s="2"/>
      <c r="H47" s="2"/>
      <c r="I47" s="2"/>
      <c r="J47" s="2"/>
      <c r="K47" s="2"/>
      <c r="L47" s="2"/>
      <c r="M47" s="2"/>
      <c r="N47" s="2"/>
      <c r="O47" s="2"/>
      <c r="P47" s="2"/>
      <c r="Q47" s="2"/>
      <c r="R47" s="2"/>
      <c r="S47" s="2"/>
      <c r="U47" s="79">
        <f>IF(Q46="","",HLOOKUP(Q46,AC207:AG208,2))</f>
      </c>
      <c r="AI47" s="133" t="s">
        <v>413</v>
      </c>
    </row>
    <row r="48" spans="2:21" ht="18.75" customHeight="1">
      <c r="B48" s="2"/>
      <c r="C48" s="4"/>
      <c r="D48" s="4" t="s">
        <v>218</v>
      </c>
      <c r="E48" s="7"/>
      <c r="F48" s="7"/>
      <c r="G48" s="2"/>
      <c r="H48" s="2"/>
      <c r="I48" s="2"/>
      <c r="J48" s="2"/>
      <c r="K48" s="516"/>
      <c r="L48" s="517"/>
      <c r="M48" s="517"/>
      <c r="N48" s="518"/>
      <c r="O48" s="2"/>
      <c r="P48" s="64" t="s">
        <v>419</v>
      </c>
      <c r="Q48" s="56">
        <f>IF(OR(COUNT(U46:U48)=0,COUNT(U46:U48)=3),"",IF(OR(U46="",U47=""),U48,INDEX(AD210:AF214,U46,U47)))</f>
      </c>
      <c r="R48" s="2"/>
      <c r="S48" s="2"/>
      <c r="U48" s="79">
        <f>IF(K48="","",VLOOKUP(K48,W207:X209,2,FALSE))</f>
      </c>
    </row>
    <row r="49" spans="2:21" ht="6" customHeight="1">
      <c r="B49" s="2"/>
      <c r="C49" s="4"/>
      <c r="D49" s="4"/>
      <c r="E49" s="7"/>
      <c r="F49" s="7"/>
      <c r="G49" s="2"/>
      <c r="H49" s="2"/>
      <c r="I49" s="2"/>
      <c r="J49" s="2"/>
      <c r="K49" s="2"/>
      <c r="L49" s="2"/>
      <c r="M49" s="2"/>
      <c r="N49" s="2"/>
      <c r="O49" s="2"/>
      <c r="P49" s="64"/>
      <c r="Q49" s="2"/>
      <c r="R49" s="2"/>
      <c r="S49" s="2"/>
      <c r="U49" s="69"/>
    </row>
    <row r="50" spans="2:19" ht="18.75" customHeight="1">
      <c r="B50" s="2"/>
      <c r="C50" s="7"/>
      <c r="D50" s="7" t="s">
        <v>26</v>
      </c>
      <c r="E50" s="7"/>
      <c r="F50" s="7"/>
      <c r="G50" s="7"/>
      <c r="H50" s="35" t="s">
        <v>435</v>
      </c>
      <c r="I50" s="34" t="s">
        <v>420</v>
      </c>
      <c r="J50" s="140">
        <f>IF(Q48="","",Q48)</f>
      </c>
      <c r="K50" s="34" t="s">
        <v>355</v>
      </c>
      <c r="L50" s="56">
        <f>IF(AND($Q$8="",$Q$13=""),"",U36)</f>
      </c>
      <c r="M50" s="34" t="s">
        <v>356</v>
      </c>
      <c r="N50" s="541">
        <f>IF(AND($Q$8="",$Q$13=""),"",U37)</f>
      </c>
      <c r="O50" s="542"/>
      <c r="P50" s="31" t="s">
        <v>354</v>
      </c>
      <c r="Q50" s="404">
        <f>IF(COUNT(J50,L50,N50)&lt;3,"",ROUND(J50*L50*N50,2))</f>
      </c>
      <c r="R50" s="406"/>
      <c r="S50" s="2"/>
    </row>
    <row r="51" spans="2:21" ht="18.75" customHeight="1">
      <c r="B51" s="2"/>
      <c r="C51" s="4" t="s">
        <v>200</v>
      </c>
      <c r="D51" s="4"/>
      <c r="E51" s="7"/>
      <c r="F51" s="7"/>
      <c r="G51" s="2"/>
      <c r="H51" s="2"/>
      <c r="I51" s="2"/>
      <c r="J51" s="2"/>
      <c r="K51" s="2"/>
      <c r="L51" s="2"/>
      <c r="M51" s="2"/>
      <c r="N51" s="2"/>
      <c r="O51" s="2"/>
      <c r="P51" s="2"/>
      <c r="Q51" s="2"/>
      <c r="R51" s="2"/>
      <c r="S51" s="2"/>
      <c r="U51" s="79"/>
    </row>
    <row r="52" spans="2:35" ht="18.75" customHeight="1">
      <c r="B52" s="2"/>
      <c r="C52" s="46" t="s">
        <v>202</v>
      </c>
      <c r="D52" s="150" t="s">
        <v>249</v>
      </c>
      <c r="E52" s="512"/>
      <c r="F52" s="512"/>
      <c r="G52" s="512"/>
      <c r="H52" s="512"/>
      <c r="I52" s="512"/>
      <c r="J52" s="512"/>
      <c r="K52" s="512"/>
      <c r="L52" s="512"/>
      <c r="M52" s="512"/>
      <c r="N52" s="512"/>
      <c r="O52" s="512"/>
      <c r="P52" s="512"/>
      <c r="Q52" s="512"/>
      <c r="R52" s="513"/>
      <c r="S52" s="46" t="s">
        <v>205</v>
      </c>
      <c r="U52" s="79">
        <f>IF(COUNT(U53:U58)=0,"",SUM(U53:U58))</f>
      </c>
      <c r="AI52" s="1" t="s">
        <v>414</v>
      </c>
    </row>
    <row r="53" spans="2:35" ht="13.5" customHeight="1">
      <c r="B53" s="2"/>
      <c r="C53" s="202" t="s">
        <v>331</v>
      </c>
      <c r="D53" s="514" t="s">
        <v>332</v>
      </c>
      <c r="E53" s="60" t="s">
        <v>201</v>
      </c>
      <c r="F53" s="24"/>
      <c r="G53" s="24"/>
      <c r="H53" s="24"/>
      <c r="I53" s="24"/>
      <c r="J53" s="24"/>
      <c r="K53" s="24"/>
      <c r="L53" s="24"/>
      <c r="M53" s="24"/>
      <c r="N53" s="24"/>
      <c r="O53" s="24"/>
      <c r="P53" s="24"/>
      <c r="Q53" s="24"/>
      <c r="R53" s="25"/>
      <c r="S53" s="245"/>
      <c r="U53" s="79">
        <f>IF(OR(S53="",COUNTA(S55:S58)&gt;0),"",1)</f>
      </c>
      <c r="AI53" s="137" t="s">
        <v>417</v>
      </c>
    </row>
    <row r="54" spans="2:21" ht="13.5" customHeight="1">
      <c r="B54" s="2"/>
      <c r="C54" s="194"/>
      <c r="D54" s="515"/>
      <c r="E54" s="61" t="s">
        <v>461</v>
      </c>
      <c r="F54" s="16"/>
      <c r="G54" s="16"/>
      <c r="H54" s="16"/>
      <c r="I54" s="16"/>
      <c r="J54" s="16"/>
      <c r="K54" s="16"/>
      <c r="L54" s="16"/>
      <c r="M54" s="16"/>
      <c r="N54" s="16"/>
      <c r="O54" s="16"/>
      <c r="P54" s="16"/>
      <c r="Q54" s="16"/>
      <c r="R54" s="17"/>
      <c r="S54" s="246"/>
      <c r="U54" s="79"/>
    </row>
    <row r="55" spans="2:21" ht="18.75" customHeight="1">
      <c r="B55" s="2"/>
      <c r="C55" s="511"/>
      <c r="D55" s="111" t="s">
        <v>264</v>
      </c>
      <c r="E55" s="112" t="s">
        <v>250</v>
      </c>
      <c r="F55" s="113"/>
      <c r="G55" s="113"/>
      <c r="H55" s="113"/>
      <c r="I55" s="113"/>
      <c r="J55" s="113"/>
      <c r="K55" s="113"/>
      <c r="L55" s="113"/>
      <c r="M55" s="113"/>
      <c r="N55" s="113"/>
      <c r="O55" s="113"/>
      <c r="P55" s="113"/>
      <c r="Q55" s="113"/>
      <c r="R55" s="114"/>
      <c r="S55" s="122"/>
      <c r="U55" s="79">
        <f>IF(OR(S55="",COUNTA(S53,S56:S58)&gt;0),"",2)</f>
      </c>
    </row>
    <row r="56" spans="2:21" ht="18.75" customHeight="1">
      <c r="B56" s="2"/>
      <c r="C56" s="202" t="s">
        <v>265</v>
      </c>
      <c r="D56" s="117" t="s">
        <v>266</v>
      </c>
      <c r="E56" s="118" t="s">
        <v>203</v>
      </c>
      <c r="F56" s="100"/>
      <c r="G56" s="100"/>
      <c r="H56" s="100"/>
      <c r="I56" s="100"/>
      <c r="J56" s="100"/>
      <c r="K56" s="100"/>
      <c r="L56" s="100"/>
      <c r="M56" s="100"/>
      <c r="N56" s="100"/>
      <c r="O56" s="100"/>
      <c r="P56" s="100"/>
      <c r="Q56" s="100"/>
      <c r="R56" s="104"/>
      <c r="S56" s="123"/>
      <c r="U56" s="79">
        <f>IF(OR(S56="",COUNTA(S53:S55,S57:S58)&gt;0),"",3)</f>
      </c>
    </row>
    <row r="57" spans="2:21" ht="18.75" customHeight="1">
      <c r="B57" s="2"/>
      <c r="C57" s="196"/>
      <c r="D57" s="110" t="s">
        <v>267</v>
      </c>
      <c r="E57" s="119" t="s">
        <v>251</v>
      </c>
      <c r="F57" s="101"/>
      <c r="G57" s="101"/>
      <c r="H57" s="101"/>
      <c r="I57" s="101"/>
      <c r="J57" s="101"/>
      <c r="K57" s="101"/>
      <c r="L57" s="101"/>
      <c r="M57" s="101"/>
      <c r="N57" s="101"/>
      <c r="O57" s="101"/>
      <c r="P57" s="101"/>
      <c r="Q57" s="101"/>
      <c r="R57" s="106"/>
      <c r="S57" s="41"/>
      <c r="U57" s="79">
        <f>IF(OR(S57="",COUNTA(S53:S56,S58)&gt;0),"",4)</f>
      </c>
    </row>
    <row r="58" spans="2:21" ht="18.75" customHeight="1">
      <c r="B58" s="2"/>
      <c r="C58" s="115" t="s">
        <v>248</v>
      </c>
      <c r="D58" s="116"/>
      <c r="E58" s="62" t="s">
        <v>204</v>
      </c>
      <c r="F58" s="28"/>
      <c r="G58" s="28"/>
      <c r="H58" s="28"/>
      <c r="I58" s="28"/>
      <c r="J58" s="28"/>
      <c r="K58" s="28"/>
      <c r="L58" s="28"/>
      <c r="M58" s="28"/>
      <c r="N58" s="28"/>
      <c r="O58" s="28"/>
      <c r="P58" s="28"/>
      <c r="Q58" s="28"/>
      <c r="R58" s="29"/>
      <c r="S58" s="120"/>
      <c r="U58" s="79">
        <f>IF(OR(S58="",COUNTA(S53:S57)&gt;0),"",5)</f>
      </c>
    </row>
    <row r="59" spans="2:21" ht="18.75" customHeight="1">
      <c r="B59" s="2"/>
      <c r="C59" s="33" t="s">
        <v>357</v>
      </c>
      <c r="D59" s="61"/>
      <c r="E59" s="16"/>
      <c r="F59" s="16"/>
      <c r="G59" s="16"/>
      <c r="H59" s="16"/>
      <c r="I59" s="16"/>
      <c r="J59" s="16"/>
      <c r="K59" s="16"/>
      <c r="L59" s="16"/>
      <c r="M59" s="16"/>
      <c r="N59" s="16"/>
      <c r="O59" s="16"/>
      <c r="P59" s="16"/>
      <c r="Q59" s="16"/>
      <c r="R59" s="16"/>
      <c r="S59" s="2"/>
      <c r="U59" s="79" t="s">
        <v>416</v>
      </c>
    </row>
    <row r="60" spans="2:19" ht="18.75" customHeight="1">
      <c r="B60" s="4" t="s">
        <v>436</v>
      </c>
      <c r="C60" s="7" t="s">
        <v>2</v>
      </c>
      <c r="D60" s="7"/>
      <c r="E60" s="7"/>
      <c r="F60" s="7"/>
      <c r="G60" s="7"/>
      <c r="H60" s="7"/>
      <c r="I60" s="7"/>
      <c r="J60" s="7"/>
      <c r="K60" s="7"/>
      <c r="L60" s="7"/>
      <c r="M60" s="7"/>
      <c r="N60" s="7"/>
      <c r="O60" s="7"/>
      <c r="P60" s="7"/>
      <c r="Q60" s="7"/>
      <c r="R60" s="7"/>
      <c r="S60" s="7"/>
    </row>
    <row r="61" spans="2:19" ht="18.75" customHeight="1">
      <c r="B61" s="7"/>
      <c r="C61" s="284" t="s">
        <v>3</v>
      </c>
      <c r="D61" s="327"/>
      <c r="E61" s="327"/>
      <c r="F61" s="327"/>
      <c r="G61" s="327"/>
      <c r="H61" s="327"/>
      <c r="I61" s="327"/>
      <c r="J61" s="189" t="s">
        <v>268</v>
      </c>
      <c r="K61" s="252"/>
      <c r="L61" s="252"/>
      <c r="M61" s="252"/>
      <c r="N61" s="252"/>
      <c r="O61" s="252"/>
      <c r="P61" s="252"/>
      <c r="Q61" s="253"/>
      <c r="R61" s="327" t="s">
        <v>71</v>
      </c>
      <c r="S61" s="170"/>
    </row>
    <row r="62" spans="2:19" ht="18.75" customHeight="1">
      <c r="B62" s="7"/>
      <c r="C62" s="316" t="s">
        <v>4</v>
      </c>
      <c r="D62" s="330" t="s">
        <v>5</v>
      </c>
      <c r="E62" s="359"/>
      <c r="F62" s="359"/>
      <c r="G62" s="359"/>
      <c r="H62" s="359"/>
      <c r="I62" s="359"/>
      <c r="J62" s="263">
        <v>0.6</v>
      </c>
      <c r="K62" s="264"/>
      <c r="L62" s="264"/>
      <c r="M62" s="264"/>
      <c r="N62" s="264"/>
      <c r="O62" s="264"/>
      <c r="P62" s="264"/>
      <c r="Q62" s="265"/>
      <c r="R62" s="235">
        <f>IF(OR(AND($Q$8="",$Q$13=""),$J$30="",$J$31=""),"",0.6)</f>
      </c>
      <c r="S62" s="236"/>
    </row>
    <row r="63" spans="2:19" ht="6" customHeight="1">
      <c r="B63" s="7"/>
      <c r="C63" s="317"/>
      <c r="D63" s="320" t="s">
        <v>6</v>
      </c>
      <c r="E63" s="328"/>
      <c r="F63" s="328"/>
      <c r="G63" s="328"/>
      <c r="H63" s="328"/>
      <c r="I63" s="328"/>
      <c r="J63" s="257" t="s">
        <v>269</v>
      </c>
      <c r="K63" s="260"/>
      <c r="L63" s="260"/>
      <c r="M63" s="260"/>
      <c r="N63" s="315" t="s">
        <v>270</v>
      </c>
      <c r="O63" s="5" t="s">
        <v>271</v>
      </c>
      <c r="P63" s="247"/>
      <c r="Q63" s="248"/>
      <c r="R63" s="301">
        <f>IF(OR(AND($Q$8="",$Q$13=""),$J$30="",$J$31=""),"",ROUND(0.01*SQRT($J$30*$J$31),2))</f>
      </c>
      <c r="S63" s="302"/>
    </row>
    <row r="64" spans="2:19" ht="12.75" customHeight="1">
      <c r="B64" s="7"/>
      <c r="C64" s="317"/>
      <c r="D64" s="329"/>
      <c r="E64" s="328"/>
      <c r="F64" s="328"/>
      <c r="G64" s="328"/>
      <c r="H64" s="328"/>
      <c r="I64" s="328"/>
      <c r="J64" s="261"/>
      <c r="K64" s="262"/>
      <c r="L64" s="262"/>
      <c r="M64" s="262"/>
      <c r="N64" s="315"/>
      <c r="O64" s="8" t="s">
        <v>272</v>
      </c>
      <c r="P64" s="249"/>
      <c r="Q64" s="250"/>
      <c r="R64" s="303"/>
      <c r="S64" s="304"/>
    </row>
    <row r="65" spans="2:19" ht="18.75" customHeight="1">
      <c r="B65" s="7"/>
      <c r="C65" s="318"/>
      <c r="D65" s="360" t="s">
        <v>7</v>
      </c>
      <c r="E65" s="361"/>
      <c r="F65" s="361"/>
      <c r="G65" s="361"/>
      <c r="H65" s="361"/>
      <c r="I65" s="361"/>
      <c r="J65" s="266">
        <v>0.6</v>
      </c>
      <c r="K65" s="267"/>
      <c r="L65" s="267"/>
      <c r="M65" s="267"/>
      <c r="N65" s="267"/>
      <c r="O65" s="267"/>
      <c r="P65" s="267"/>
      <c r="Q65" s="268"/>
      <c r="R65" s="299">
        <f>IF(OR(AND($Q$8="",$Q$13=""),$J$30="",$J$31=""),"",0.6)</f>
      </c>
      <c r="S65" s="300"/>
    </row>
    <row r="66" spans="2:19" ht="6" customHeight="1">
      <c r="B66" s="7"/>
      <c r="C66" s="317" t="s">
        <v>8</v>
      </c>
      <c r="D66" s="330" t="s">
        <v>273</v>
      </c>
      <c r="E66" s="331"/>
      <c r="F66" s="331"/>
      <c r="G66" s="331"/>
      <c r="H66" s="331"/>
      <c r="I66" s="331"/>
      <c r="J66" s="254" t="s">
        <v>274</v>
      </c>
      <c r="K66" s="332"/>
      <c r="L66" s="332"/>
      <c r="M66" s="332"/>
      <c r="N66" s="319" t="s">
        <v>115</v>
      </c>
      <c r="O66" s="6" t="s">
        <v>275</v>
      </c>
      <c r="P66" s="6"/>
      <c r="Q66" s="365"/>
      <c r="R66" s="235">
        <f>IF(OR(AND($Q$8="",$Q$13=""),$J$30="",$J$31=""),"",ROUND(0.02*SQRT($J$30*$J$31),2))</f>
      </c>
      <c r="S66" s="236"/>
    </row>
    <row r="67" spans="2:19" ht="12.75" customHeight="1">
      <c r="B67" s="7"/>
      <c r="C67" s="317"/>
      <c r="D67" s="329"/>
      <c r="E67" s="328"/>
      <c r="F67" s="328"/>
      <c r="G67" s="328"/>
      <c r="H67" s="328"/>
      <c r="I67" s="328"/>
      <c r="J67" s="261"/>
      <c r="K67" s="262"/>
      <c r="L67" s="262"/>
      <c r="M67" s="262"/>
      <c r="N67" s="315"/>
      <c r="O67" s="8" t="s">
        <v>76</v>
      </c>
      <c r="P67" s="8"/>
      <c r="Q67" s="366"/>
      <c r="R67" s="307"/>
      <c r="S67" s="308"/>
    </row>
    <row r="68" spans="2:19" ht="6" customHeight="1">
      <c r="B68" s="7"/>
      <c r="C68" s="317"/>
      <c r="D68" s="320" t="s">
        <v>276</v>
      </c>
      <c r="E68" s="328"/>
      <c r="F68" s="328"/>
      <c r="G68" s="328"/>
      <c r="H68" s="328"/>
      <c r="I68" s="328"/>
      <c r="J68" s="322" t="s">
        <v>277</v>
      </c>
      <c r="K68" s="323"/>
      <c r="L68" s="323"/>
      <c r="M68" s="323"/>
      <c r="N68" s="315" t="s">
        <v>115</v>
      </c>
      <c r="O68" s="5" t="s">
        <v>275</v>
      </c>
      <c r="P68" s="247"/>
      <c r="Q68" s="248"/>
      <c r="R68" s="307">
        <f>IF(OR(AND($Q$8="",$Q$13=""),$J$30="",$J$31=""),"",ROUND(0.05*SQRT($J$30*$J$31),2))</f>
      </c>
      <c r="S68" s="308"/>
    </row>
    <row r="69" spans="2:19" ht="12.75" customHeight="1">
      <c r="B69" s="7"/>
      <c r="C69" s="317"/>
      <c r="D69" s="329"/>
      <c r="E69" s="328"/>
      <c r="F69" s="328"/>
      <c r="G69" s="328"/>
      <c r="H69" s="328"/>
      <c r="I69" s="328"/>
      <c r="J69" s="324"/>
      <c r="K69" s="325"/>
      <c r="L69" s="325"/>
      <c r="M69" s="325"/>
      <c r="N69" s="315"/>
      <c r="O69" s="8" t="s">
        <v>76</v>
      </c>
      <c r="P69" s="249"/>
      <c r="Q69" s="250"/>
      <c r="R69" s="307"/>
      <c r="S69" s="308"/>
    </row>
    <row r="70" spans="2:19" ht="6" customHeight="1">
      <c r="B70" s="7"/>
      <c r="C70" s="317"/>
      <c r="D70" s="320" t="s">
        <v>278</v>
      </c>
      <c r="E70" s="328"/>
      <c r="F70" s="328"/>
      <c r="G70" s="328"/>
      <c r="H70" s="328"/>
      <c r="I70" s="328"/>
      <c r="J70" s="410" t="s">
        <v>274</v>
      </c>
      <c r="K70" s="323"/>
      <c r="L70" s="323"/>
      <c r="M70" s="323"/>
      <c r="N70" s="315" t="s">
        <v>115</v>
      </c>
      <c r="O70" s="5" t="s">
        <v>279</v>
      </c>
      <c r="P70" s="247"/>
      <c r="Q70" s="248"/>
      <c r="R70" s="307">
        <f>IF(OR(AND($Q$8="",$Q$13=""),$J$30="",$J$31=""),"",ROUND(0.02*SQRT($J$30),2))</f>
      </c>
      <c r="S70" s="308"/>
    </row>
    <row r="71" spans="2:19" ht="12.75" customHeight="1">
      <c r="B71" s="7"/>
      <c r="C71" s="317"/>
      <c r="D71" s="329"/>
      <c r="E71" s="328"/>
      <c r="F71" s="328"/>
      <c r="G71" s="328"/>
      <c r="H71" s="328"/>
      <c r="I71" s="328"/>
      <c r="J71" s="324"/>
      <c r="K71" s="325"/>
      <c r="L71" s="325"/>
      <c r="M71" s="325"/>
      <c r="N71" s="315"/>
      <c r="O71" s="9" t="s">
        <v>280</v>
      </c>
      <c r="P71" s="249"/>
      <c r="Q71" s="250"/>
      <c r="R71" s="307"/>
      <c r="S71" s="308"/>
    </row>
    <row r="72" spans="2:19" ht="18.75" customHeight="1">
      <c r="B72" s="7"/>
      <c r="C72" s="317"/>
      <c r="D72" s="320" t="s">
        <v>281</v>
      </c>
      <c r="E72" s="321"/>
      <c r="F72" s="321"/>
      <c r="G72" s="321"/>
      <c r="H72" s="321"/>
      <c r="I72" s="321"/>
      <c r="J72" s="269">
        <v>0.6</v>
      </c>
      <c r="K72" s="270"/>
      <c r="L72" s="270"/>
      <c r="M72" s="270"/>
      <c r="N72" s="270"/>
      <c r="O72" s="270"/>
      <c r="P72" s="270"/>
      <c r="Q72" s="271"/>
      <c r="R72" s="307">
        <f>IF(OR(AND($Q$8="",$Q$13=""),$J$30="",$J$31=""),"",0.6)</f>
      </c>
      <c r="S72" s="308"/>
    </row>
    <row r="73" spans="2:19" ht="18.75" customHeight="1">
      <c r="B73" s="7"/>
      <c r="C73" s="317"/>
      <c r="D73" s="320" t="s">
        <v>282</v>
      </c>
      <c r="E73" s="321"/>
      <c r="F73" s="321"/>
      <c r="G73" s="321"/>
      <c r="H73" s="321"/>
      <c r="I73" s="321"/>
      <c r="J73" s="269">
        <v>0.6</v>
      </c>
      <c r="K73" s="270"/>
      <c r="L73" s="270"/>
      <c r="M73" s="270"/>
      <c r="N73" s="270"/>
      <c r="O73" s="270"/>
      <c r="P73" s="270"/>
      <c r="Q73" s="271"/>
      <c r="R73" s="307">
        <f>IF(OR(AND($Q$8="",$Q$13=""),$J$30="",$J$31=""),"",0.6)</f>
      </c>
      <c r="S73" s="308"/>
    </row>
    <row r="74" spans="2:19" ht="6" customHeight="1">
      <c r="B74" s="7"/>
      <c r="C74" s="317"/>
      <c r="D74" s="320" t="s">
        <v>283</v>
      </c>
      <c r="E74" s="328"/>
      <c r="F74" s="328"/>
      <c r="G74" s="328"/>
      <c r="H74" s="328"/>
      <c r="I74" s="328"/>
      <c r="J74" s="257" t="s">
        <v>75</v>
      </c>
      <c r="K74" s="260"/>
      <c r="L74" s="260"/>
      <c r="M74" s="260"/>
      <c r="N74" s="315" t="s">
        <v>115</v>
      </c>
      <c r="O74" s="5" t="s">
        <v>275</v>
      </c>
      <c r="P74" s="247"/>
      <c r="Q74" s="272"/>
      <c r="R74" s="307">
        <f>IF(OR(AND($Q$8="",$Q$13=""),$J$30="",$J$31=""),"",ROUND(0.01*SQRT($J$30*$J$31),2))</f>
      </c>
      <c r="S74" s="308"/>
    </row>
    <row r="75" spans="2:19" ht="12.75" customHeight="1">
      <c r="B75" s="7"/>
      <c r="C75" s="317"/>
      <c r="D75" s="357"/>
      <c r="E75" s="358"/>
      <c r="F75" s="358"/>
      <c r="G75" s="358"/>
      <c r="H75" s="358"/>
      <c r="I75" s="358"/>
      <c r="J75" s="399"/>
      <c r="K75" s="400"/>
      <c r="L75" s="400"/>
      <c r="M75" s="400"/>
      <c r="N75" s="326"/>
      <c r="O75" s="10" t="s">
        <v>76</v>
      </c>
      <c r="P75" s="273"/>
      <c r="Q75" s="274"/>
      <c r="R75" s="299"/>
      <c r="S75" s="300"/>
    </row>
    <row r="76" spans="2:19" ht="6" customHeight="1">
      <c r="B76" s="7"/>
      <c r="C76" s="377" t="s">
        <v>13</v>
      </c>
      <c r="D76" s="330" t="s">
        <v>284</v>
      </c>
      <c r="E76" s="331"/>
      <c r="F76" s="331"/>
      <c r="G76" s="331"/>
      <c r="H76" s="331"/>
      <c r="I76" s="331"/>
      <c r="J76" s="395" t="s">
        <v>285</v>
      </c>
      <c r="K76" s="264"/>
      <c r="L76" s="264"/>
      <c r="M76" s="264"/>
      <c r="N76" s="319" t="s">
        <v>115</v>
      </c>
      <c r="O76" s="6" t="s">
        <v>275</v>
      </c>
      <c r="P76" s="408"/>
      <c r="Q76" s="409"/>
      <c r="R76" s="235">
        <f>IF(OR(AND($Q$8="",$Q$13=""),$J$30="",$J$31=""),"",ROUND(0.04*SQRT($J$30*$J$31),2))</f>
      </c>
      <c r="S76" s="236"/>
    </row>
    <row r="77" spans="2:19" ht="12.75" customHeight="1">
      <c r="B77" s="7"/>
      <c r="C77" s="378"/>
      <c r="D77" s="329"/>
      <c r="E77" s="328"/>
      <c r="F77" s="328"/>
      <c r="G77" s="328"/>
      <c r="H77" s="328"/>
      <c r="I77" s="328"/>
      <c r="J77" s="396"/>
      <c r="K77" s="270"/>
      <c r="L77" s="270"/>
      <c r="M77" s="270"/>
      <c r="N77" s="315"/>
      <c r="O77" s="8" t="s">
        <v>76</v>
      </c>
      <c r="P77" s="249"/>
      <c r="Q77" s="272"/>
      <c r="R77" s="307"/>
      <c r="S77" s="308"/>
    </row>
    <row r="78" spans="2:19" ht="18.75" customHeight="1">
      <c r="B78" s="7"/>
      <c r="C78" s="378"/>
      <c r="D78" s="320" t="s">
        <v>9</v>
      </c>
      <c r="E78" s="321"/>
      <c r="F78" s="321"/>
      <c r="G78" s="321"/>
      <c r="H78" s="321"/>
      <c r="I78" s="321"/>
      <c r="J78" s="269">
        <v>0.5</v>
      </c>
      <c r="K78" s="270"/>
      <c r="L78" s="270"/>
      <c r="M78" s="270"/>
      <c r="N78" s="270"/>
      <c r="O78" s="270"/>
      <c r="P78" s="270"/>
      <c r="Q78" s="271"/>
      <c r="R78" s="307">
        <f>IF(OR(AND($Q$8="",$Q$13=""),$J$30="",$J$31=""),"",0.5)</f>
      </c>
      <c r="S78" s="308"/>
    </row>
    <row r="79" spans="2:19" ht="18.75" customHeight="1">
      <c r="B79" s="7"/>
      <c r="C79" s="378"/>
      <c r="D79" s="350" t="s">
        <v>10</v>
      </c>
      <c r="E79" s="351"/>
      <c r="F79" s="351"/>
      <c r="G79" s="351"/>
      <c r="H79" s="351"/>
      <c r="I79" s="351"/>
      <c r="J79" s="269" t="s">
        <v>31</v>
      </c>
      <c r="K79" s="270"/>
      <c r="L79" s="270"/>
      <c r="M79" s="270"/>
      <c r="N79" s="270"/>
      <c r="O79" s="270"/>
      <c r="P79" s="270"/>
      <c r="Q79" s="271"/>
      <c r="R79" s="313">
        <f>IF(OR(AND($Q$8="",$Q$13=""),$J$30="",$J$31=""),"","－")</f>
      </c>
      <c r="S79" s="314"/>
    </row>
    <row r="80" spans="2:19" ht="18.75" customHeight="1">
      <c r="B80" s="7"/>
      <c r="C80" s="378"/>
      <c r="D80" s="350" t="s">
        <v>11</v>
      </c>
      <c r="E80" s="351"/>
      <c r="F80" s="351"/>
      <c r="G80" s="351"/>
      <c r="H80" s="351"/>
      <c r="I80" s="351"/>
      <c r="J80" s="269" t="s">
        <v>31</v>
      </c>
      <c r="K80" s="270"/>
      <c r="L80" s="270"/>
      <c r="M80" s="270"/>
      <c r="N80" s="270"/>
      <c r="O80" s="270"/>
      <c r="P80" s="270"/>
      <c r="Q80" s="271"/>
      <c r="R80" s="313">
        <f>IF(OR(AND($Q$8="",$Q$13=""),$J$30="",$J$31=""),"","－")</f>
      </c>
      <c r="S80" s="314"/>
    </row>
    <row r="81" spans="2:19" ht="18.75" customHeight="1">
      <c r="B81" s="7"/>
      <c r="C81" s="378"/>
      <c r="D81" s="350" t="s">
        <v>12</v>
      </c>
      <c r="E81" s="351"/>
      <c r="F81" s="351"/>
      <c r="G81" s="351"/>
      <c r="H81" s="351"/>
      <c r="I81" s="351"/>
      <c r="J81" s="269" t="s">
        <v>31</v>
      </c>
      <c r="K81" s="270"/>
      <c r="L81" s="270"/>
      <c r="M81" s="270"/>
      <c r="N81" s="270"/>
      <c r="O81" s="270"/>
      <c r="P81" s="270"/>
      <c r="Q81" s="271"/>
      <c r="R81" s="313">
        <f>IF(OR(AND($Q$8="",$Q$13=""),$J$30="",$J$31=""),"","－")</f>
      </c>
      <c r="S81" s="314"/>
    </row>
    <row r="82" spans="2:19" ht="18.75" customHeight="1">
      <c r="B82" s="7"/>
      <c r="C82" s="378"/>
      <c r="D82" s="559" t="s">
        <v>334</v>
      </c>
      <c r="E82" s="351"/>
      <c r="F82" s="351"/>
      <c r="G82" s="351"/>
      <c r="H82" s="351"/>
      <c r="I82" s="351"/>
      <c r="J82" s="269" t="s">
        <v>31</v>
      </c>
      <c r="K82" s="270"/>
      <c r="L82" s="270"/>
      <c r="M82" s="270"/>
      <c r="N82" s="270"/>
      <c r="O82" s="270"/>
      <c r="P82" s="270"/>
      <c r="Q82" s="271"/>
      <c r="R82" s="313">
        <f>IF(OR(AND($Q$8="",$Q$13=""),$J$30="",$J$31=""),"","－")</f>
      </c>
      <c r="S82" s="314"/>
    </row>
    <row r="83" spans="2:19" ht="6" customHeight="1">
      <c r="B83" s="7"/>
      <c r="C83" s="378"/>
      <c r="D83" s="320" t="s">
        <v>286</v>
      </c>
      <c r="E83" s="328"/>
      <c r="F83" s="328"/>
      <c r="G83" s="328"/>
      <c r="H83" s="328"/>
      <c r="I83" s="328"/>
      <c r="J83" s="397" t="s">
        <v>287</v>
      </c>
      <c r="K83" s="270"/>
      <c r="L83" s="270"/>
      <c r="M83" s="270"/>
      <c r="N83" s="315" t="s">
        <v>288</v>
      </c>
      <c r="O83" s="5" t="s">
        <v>289</v>
      </c>
      <c r="P83" s="247"/>
      <c r="Q83" s="248"/>
      <c r="R83" s="307">
        <f>IF(OR(AND($Q$8="",$Q$13=""),$J$30="",$J$31=""),"",ROUND(0.04*SQRT($J$30*$J$31),2))</f>
      </c>
      <c r="S83" s="308"/>
    </row>
    <row r="84" spans="2:19" ht="12.75" customHeight="1">
      <c r="B84" s="7"/>
      <c r="C84" s="379"/>
      <c r="D84" s="381"/>
      <c r="E84" s="382"/>
      <c r="F84" s="382"/>
      <c r="G84" s="382"/>
      <c r="H84" s="382"/>
      <c r="I84" s="382"/>
      <c r="J84" s="398"/>
      <c r="K84" s="260"/>
      <c r="L84" s="260"/>
      <c r="M84" s="260"/>
      <c r="N84" s="222"/>
      <c r="O84" s="11" t="s">
        <v>290</v>
      </c>
      <c r="P84" s="355"/>
      <c r="Q84" s="391"/>
      <c r="R84" s="309"/>
      <c r="S84" s="310"/>
    </row>
    <row r="85" spans="2:19" ht="6" customHeight="1">
      <c r="B85" s="7"/>
      <c r="C85" s="556" t="s">
        <v>340</v>
      </c>
      <c r="D85" s="545" t="s">
        <v>335</v>
      </c>
      <c r="E85" s="552"/>
      <c r="F85" s="552"/>
      <c r="G85" s="558" t="s">
        <v>339</v>
      </c>
      <c r="H85" s="255"/>
      <c r="I85" s="386"/>
      <c r="J85" s="254" t="s">
        <v>291</v>
      </c>
      <c r="K85" s="255"/>
      <c r="L85" s="255"/>
      <c r="M85" s="255"/>
      <c r="N85" s="319" t="s">
        <v>292</v>
      </c>
      <c r="O85" s="6" t="s">
        <v>293</v>
      </c>
      <c r="P85" s="408" t="s">
        <v>294</v>
      </c>
      <c r="Q85" s="386"/>
      <c r="R85" s="311">
        <f>IF(OR(AND($Q$8="",$Q$13=""),$J$30="",$J$31="",$Q$33=""),"",ROUND((3+0.1*SQRT($J$30*$J$31))*$Q$33*1.5,2))</f>
      </c>
      <c r="S85" s="312"/>
    </row>
    <row r="86" spans="2:19" ht="12.75" customHeight="1">
      <c r="B86" s="7"/>
      <c r="C86" s="557"/>
      <c r="D86" s="277"/>
      <c r="E86" s="278"/>
      <c r="F86" s="278"/>
      <c r="G86" s="387"/>
      <c r="H86" s="249"/>
      <c r="I86" s="250"/>
      <c r="J86" s="256"/>
      <c r="K86" s="249"/>
      <c r="L86" s="249"/>
      <c r="M86" s="249"/>
      <c r="N86" s="315"/>
      <c r="O86" s="8" t="s">
        <v>295</v>
      </c>
      <c r="P86" s="249"/>
      <c r="Q86" s="250"/>
      <c r="R86" s="303"/>
      <c r="S86" s="304"/>
    </row>
    <row r="87" spans="2:19" ht="6" customHeight="1">
      <c r="B87" s="7"/>
      <c r="C87" s="557"/>
      <c r="D87" s="560" t="s">
        <v>338</v>
      </c>
      <c r="E87" s="561"/>
      <c r="F87" s="561"/>
      <c r="G87" s="388" t="s">
        <v>339</v>
      </c>
      <c r="H87" s="258"/>
      <c r="I87" s="248"/>
      <c r="J87" s="259" t="s">
        <v>296</v>
      </c>
      <c r="K87" s="258"/>
      <c r="L87" s="258"/>
      <c r="M87" s="258"/>
      <c r="N87" s="315" t="s">
        <v>292</v>
      </c>
      <c r="O87" s="5" t="s">
        <v>293</v>
      </c>
      <c r="P87" s="247" t="s">
        <v>297</v>
      </c>
      <c r="Q87" s="248"/>
      <c r="R87" s="301">
        <f>IF(OR(AND($Q$8="",$Q$13=""),$J$30="",$J$31=""),"",ROUND((2+0.1*SQRT($J$30*$J$31))*1.5,2))</f>
      </c>
      <c r="S87" s="302"/>
    </row>
    <row r="88" spans="2:19" ht="12.75" customHeight="1">
      <c r="B88" s="7"/>
      <c r="C88" s="557"/>
      <c r="D88" s="560"/>
      <c r="E88" s="561"/>
      <c r="F88" s="561"/>
      <c r="G88" s="390"/>
      <c r="H88" s="355"/>
      <c r="I88" s="391"/>
      <c r="J88" s="354"/>
      <c r="K88" s="355"/>
      <c r="L88" s="355"/>
      <c r="M88" s="355"/>
      <c r="N88" s="222"/>
      <c r="O88" s="11" t="s">
        <v>295</v>
      </c>
      <c r="P88" s="355"/>
      <c r="Q88" s="391"/>
      <c r="R88" s="425"/>
      <c r="S88" s="426"/>
    </row>
    <row r="89" spans="2:29" ht="18.75" customHeight="1">
      <c r="B89" s="7"/>
      <c r="C89" s="305" t="s">
        <v>15</v>
      </c>
      <c r="D89" s="306"/>
      <c r="E89" s="306"/>
      <c r="F89" s="306"/>
      <c r="G89" s="306"/>
      <c r="H89" s="306"/>
      <c r="I89" s="306"/>
      <c r="J89" s="305" t="s">
        <v>298</v>
      </c>
      <c r="K89" s="306"/>
      <c r="L89" s="306"/>
      <c r="M89" s="306"/>
      <c r="N89" s="306"/>
      <c r="O89" s="306"/>
      <c r="P89" s="306"/>
      <c r="Q89" s="407"/>
      <c r="R89" s="548">
        <f>IF(COUNT(R62:S88)&lt;14,"",ROUND(SUM(R62:S88),0))</f>
      </c>
      <c r="S89" s="420"/>
      <c r="V89" s="133"/>
      <c r="AC89" s="133"/>
    </row>
    <row r="90" spans="2:19" ht="18.75" customHeight="1">
      <c r="B90" s="7"/>
      <c r="C90" s="393" t="s">
        <v>421</v>
      </c>
      <c r="D90" s="394"/>
      <c r="E90" s="394"/>
      <c r="F90" s="394"/>
      <c r="G90" s="394"/>
      <c r="H90" s="394"/>
      <c r="I90" s="394"/>
      <c r="J90" s="393" t="s">
        <v>422</v>
      </c>
      <c r="K90" s="394"/>
      <c r="L90" s="394"/>
      <c r="M90" s="394"/>
      <c r="N90" s="394"/>
      <c r="O90" s="394"/>
      <c r="P90" s="394"/>
      <c r="Q90" s="416"/>
      <c r="R90" s="423">
        <f>IF(AND(Q13="",R89=""),"",IF(Q8&lt;&gt;"","　　　　－",ROUND(R89*0.5,0)))</f>
      </c>
      <c r="S90" s="424"/>
    </row>
    <row r="91" spans="2:19" ht="18.75" customHeight="1">
      <c r="B91" s="7"/>
      <c r="C91" s="485" t="s">
        <v>95</v>
      </c>
      <c r="D91" s="486"/>
      <c r="E91" s="486"/>
      <c r="F91" s="486"/>
      <c r="G91" s="486"/>
      <c r="H91" s="486"/>
      <c r="I91" s="486"/>
      <c r="J91" s="320" t="s">
        <v>299</v>
      </c>
      <c r="K91" s="486"/>
      <c r="L91" s="486"/>
      <c r="M91" s="486"/>
      <c r="N91" s="486"/>
      <c r="O91" s="486"/>
      <c r="P91" s="486"/>
      <c r="Q91" s="487"/>
      <c r="R91" s="417">
        <f>IF(AND(Q8="",R169=""),"",IF(R169="","　　　　－",R169))</f>
      </c>
      <c r="S91" s="418"/>
    </row>
    <row r="92" spans="2:19" ht="18.75" customHeight="1">
      <c r="B92" s="7"/>
      <c r="C92" s="305" t="s">
        <v>423</v>
      </c>
      <c r="D92" s="306"/>
      <c r="E92" s="306"/>
      <c r="F92" s="306"/>
      <c r="G92" s="306"/>
      <c r="H92" s="306"/>
      <c r="I92" s="306"/>
      <c r="J92" s="305" t="s">
        <v>425</v>
      </c>
      <c r="K92" s="306"/>
      <c r="L92" s="306"/>
      <c r="M92" s="306"/>
      <c r="N92" s="306"/>
      <c r="O92" s="306"/>
      <c r="P92" s="306"/>
      <c r="Q92" s="407"/>
      <c r="R92" s="419">
        <f>IF(OR(R89="",R91=""),"",IF(R91="　　　　－","　　　　－",SUM(R90:S91)))</f>
      </c>
      <c r="S92" s="420"/>
    </row>
    <row r="93" spans="2:19" ht="18.75" customHeight="1" thickBot="1">
      <c r="B93" s="7"/>
      <c r="C93" s="553" t="s">
        <v>424</v>
      </c>
      <c r="D93" s="554"/>
      <c r="E93" s="554"/>
      <c r="F93" s="554"/>
      <c r="G93" s="554"/>
      <c r="H93" s="554"/>
      <c r="I93" s="555"/>
      <c r="J93" s="550"/>
      <c r="K93" s="551"/>
      <c r="L93" s="551"/>
      <c r="M93" s="551"/>
      <c r="N93" s="551"/>
      <c r="O93" s="551"/>
      <c r="P93" s="551"/>
      <c r="Q93" s="551"/>
      <c r="R93" s="427">
        <f>IF(OR(R89="",R92=""),"",IF(Q8="",R92,SUM(R89,R92)))</f>
      </c>
      <c r="S93" s="428"/>
    </row>
    <row r="94" spans="2:19" ht="18.75" customHeight="1" thickTop="1">
      <c r="B94" s="7"/>
      <c r="C94" s="31" t="s">
        <v>178</v>
      </c>
      <c r="D94" s="7" t="s">
        <v>179</v>
      </c>
      <c r="E94" s="7"/>
      <c r="F94" s="7"/>
      <c r="G94" s="7"/>
      <c r="H94" s="7"/>
      <c r="I94" s="7"/>
      <c r="J94" s="7"/>
      <c r="K94" s="7"/>
      <c r="L94" s="7"/>
      <c r="M94" s="7"/>
      <c r="N94" s="7"/>
      <c r="O94" s="7"/>
      <c r="P94" s="7"/>
      <c r="Q94" s="7"/>
      <c r="R94" s="49"/>
      <c r="S94" s="49"/>
    </row>
    <row r="95" spans="2:19" ht="21" customHeight="1">
      <c r="B95" s="7" t="s">
        <v>34</v>
      </c>
      <c r="C95" s="4" t="s">
        <v>35</v>
      </c>
      <c r="D95" s="4"/>
      <c r="E95" s="4"/>
      <c r="F95" s="4"/>
      <c r="G95" s="4"/>
      <c r="H95" s="4"/>
      <c r="I95" s="4"/>
      <c r="J95" s="4"/>
      <c r="K95" s="7"/>
      <c r="L95" s="7"/>
      <c r="M95" s="7"/>
      <c r="N95" s="7"/>
      <c r="O95" s="7"/>
      <c r="P95" s="7"/>
      <c r="Q95" s="7"/>
      <c r="R95" s="7"/>
      <c r="S95" s="7"/>
    </row>
    <row r="96" spans="2:19" ht="6" customHeight="1">
      <c r="B96" s="7"/>
      <c r="C96" s="7"/>
      <c r="D96" s="7"/>
      <c r="E96" s="7"/>
      <c r="F96" s="7"/>
      <c r="G96" s="7"/>
      <c r="H96" s="7"/>
      <c r="I96" s="7"/>
      <c r="J96" s="7"/>
      <c r="K96" s="7"/>
      <c r="L96" s="7"/>
      <c r="M96" s="7"/>
      <c r="N96" s="7"/>
      <c r="O96" s="7"/>
      <c r="P96" s="7"/>
      <c r="Q96" s="7"/>
      <c r="R96" s="7"/>
      <c r="S96" s="7"/>
    </row>
    <row r="97" spans="2:19" ht="21" customHeight="1">
      <c r="B97" s="30" t="s">
        <v>36</v>
      </c>
      <c r="C97" s="4" t="s">
        <v>459</v>
      </c>
      <c r="D97" s="4"/>
      <c r="E97" s="4"/>
      <c r="F97" s="4"/>
      <c r="G97" s="4"/>
      <c r="H97" s="4"/>
      <c r="I97" s="4"/>
      <c r="J97" s="4"/>
      <c r="K97" s="7"/>
      <c r="L97" s="7"/>
      <c r="M97" s="7"/>
      <c r="N97" s="7"/>
      <c r="O97" s="7"/>
      <c r="P97" s="7"/>
      <c r="Q97" s="7"/>
      <c r="R97" s="7"/>
      <c r="S97" s="7"/>
    </row>
    <row r="98" spans="2:35" ht="21" customHeight="1">
      <c r="B98" s="7"/>
      <c r="C98" s="237" t="s">
        <v>37</v>
      </c>
      <c r="D98" s="237"/>
      <c r="E98" s="237"/>
      <c r="F98" s="237"/>
      <c r="G98" s="356"/>
      <c r="H98" s="237" t="s">
        <v>99</v>
      </c>
      <c r="I98" s="237"/>
      <c r="J98" s="237"/>
      <c r="K98" s="284" t="s">
        <v>100</v>
      </c>
      <c r="L98" s="386"/>
      <c r="M98" s="237" t="s">
        <v>101</v>
      </c>
      <c r="N98" s="237"/>
      <c r="O98" s="237"/>
      <c r="P98" s="237" t="s">
        <v>102</v>
      </c>
      <c r="Q98" s="237"/>
      <c r="R98" s="237"/>
      <c r="S98" s="7"/>
      <c r="AI98" s="133" t="s">
        <v>434</v>
      </c>
    </row>
    <row r="99" spans="2:35" ht="21" customHeight="1">
      <c r="B99" s="7"/>
      <c r="C99" s="370" t="s">
        <v>38</v>
      </c>
      <c r="D99" s="370"/>
      <c r="E99" s="370"/>
      <c r="F99" s="370"/>
      <c r="G99" s="392"/>
      <c r="H99" s="202" t="s">
        <v>105</v>
      </c>
      <c r="I99" s="202"/>
      <c r="J99" s="202"/>
      <c r="K99" s="263">
        <v>3</v>
      </c>
      <c r="L99" s="409"/>
      <c r="M99" s="421">
        <v>16100</v>
      </c>
      <c r="N99" s="421"/>
      <c r="O99" s="421"/>
      <c r="P99" s="415">
        <f>IF(M99="","",K99*M99)</f>
        <v>48300</v>
      </c>
      <c r="Q99" s="415"/>
      <c r="R99" s="415"/>
      <c r="S99" s="7"/>
      <c r="AI99" s="1" t="s">
        <v>433</v>
      </c>
    </row>
    <row r="100" spans="2:19" ht="21" customHeight="1">
      <c r="B100" s="7"/>
      <c r="C100" s="280" t="s">
        <v>39</v>
      </c>
      <c r="D100" s="280"/>
      <c r="E100" s="280"/>
      <c r="F100" s="280"/>
      <c r="G100" s="341"/>
      <c r="H100" s="194" t="s">
        <v>122</v>
      </c>
      <c r="I100" s="194"/>
      <c r="J100" s="194"/>
      <c r="K100" s="194">
        <v>3</v>
      </c>
      <c r="L100" s="232"/>
      <c r="M100" s="233">
        <v>4600</v>
      </c>
      <c r="N100" s="233"/>
      <c r="O100" s="233"/>
      <c r="P100" s="231">
        <f>IF(M100="","",K100*M100)</f>
        <v>13800</v>
      </c>
      <c r="Q100" s="231"/>
      <c r="R100" s="231"/>
      <c r="S100" s="7"/>
    </row>
    <row r="101" spans="2:19" ht="21" customHeight="1">
      <c r="B101" s="7"/>
      <c r="C101" s="280" t="s">
        <v>40</v>
      </c>
      <c r="D101" s="280"/>
      <c r="E101" s="280"/>
      <c r="F101" s="280"/>
      <c r="G101" s="341"/>
      <c r="H101" s="194" t="s">
        <v>122</v>
      </c>
      <c r="I101" s="194"/>
      <c r="J101" s="194"/>
      <c r="K101" s="194">
        <v>3</v>
      </c>
      <c r="L101" s="232"/>
      <c r="M101" s="233">
        <v>3200</v>
      </c>
      <c r="N101" s="233"/>
      <c r="O101" s="233"/>
      <c r="P101" s="231">
        <f>IF(M101="","",K101*M101)</f>
        <v>9600</v>
      </c>
      <c r="Q101" s="231"/>
      <c r="R101" s="231"/>
      <c r="S101" s="7"/>
    </row>
    <row r="102" spans="2:19" ht="21" customHeight="1">
      <c r="B102" s="7"/>
      <c r="C102" s="280" t="s">
        <v>41</v>
      </c>
      <c r="D102" s="280"/>
      <c r="E102" s="280"/>
      <c r="F102" s="280"/>
      <c r="G102" s="341"/>
      <c r="H102" s="194" t="s">
        <v>105</v>
      </c>
      <c r="I102" s="194"/>
      <c r="J102" s="194"/>
      <c r="K102" s="194">
        <v>3</v>
      </c>
      <c r="L102" s="232"/>
      <c r="M102" s="233">
        <v>3500</v>
      </c>
      <c r="N102" s="233"/>
      <c r="O102" s="233"/>
      <c r="P102" s="231">
        <f>IF(M102="","",K102*M102)</f>
        <v>10500</v>
      </c>
      <c r="Q102" s="231"/>
      <c r="R102" s="231"/>
      <c r="S102" s="7"/>
    </row>
    <row r="103" spans="2:19" ht="21" customHeight="1">
      <c r="B103" s="7"/>
      <c r="C103" s="340" t="s">
        <v>358</v>
      </c>
      <c r="D103" s="280"/>
      <c r="E103" s="280"/>
      <c r="F103" s="280"/>
      <c r="G103" s="341"/>
      <c r="H103" s="194" t="s">
        <v>104</v>
      </c>
      <c r="I103" s="194"/>
      <c r="J103" s="194"/>
      <c r="K103" s="194">
        <v>1</v>
      </c>
      <c r="L103" s="232"/>
      <c r="M103" s="234"/>
      <c r="N103" s="234"/>
      <c r="O103" s="234"/>
      <c r="P103" s="233">
        <v>3500</v>
      </c>
      <c r="Q103" s="233"/>
      <c r="R103" s="233"/>
      <c r="S103" s="7"/>
    </row>
    <row r="104" spans="2:19" ht="21" customHeight="1">
      <c r="B104" s="7"/>
      <c r="C104" s="280" t="s">
        <v>42</v>
      </c>
      <c r="D104" s="280"/>
      <c r="E104" s="280"/>
      <c r="F104" s="280"/>
      <c r="G104" s="341"/>
      <c r="H104" s="194" t="s">
        <v>103</v>
      </c>
      <c r="I104" s="194"/>
      <c r="J104" s="194"/>
      <c r="K104" s="194">
        <v>0.5</v>
      </c>
      <c r="L104" s="232"/>
      <c r="M104" s="233">
        <v>15700</v>
      </c>
      <c r="N104" s="233"/>
      <c r="O104" s="233"/>
      <c r="P104" s="231">
        <f>IF(M104="","",K104*M104)</f>
        <v>7850</v>
      </c>
      <c r="Q104" s="231"/>
      <c r="R104" s="231"/>
      <c r="S104" s="7"/>
    </row>
    <row r="105" spans="2:19" ht="21" customHeight="1">
      <c r="B105" s="7"/>
      <c r="C105" s="340" t="s">
        <v>96</v>
      </c>
      <c r="D105" s="280"/>
      <c r="E105" s="280"/>
      <c r="F105" s="280"/>
      <c r="G105" s="341"/>
      <c r="H105" s="194" t="s">
        <v>105</v>
      </c>
      <c r="I105" s="194"/>
      <c r="J105" s="194"/>
      <c r="K105" s="194">
        <v>3</v>
      </c>
      <c r="L105" s="232"/>
      <c r="M105" s="233">
        <v>3000</v>
      </c>
      <c r="N105" s="233"/>
      <c r="O105" s="233"/>
      <c r="P105" s="231">
        <f>IF(M105="","",K105*M105)</f>
        <v>9000</v>
      </c>
      <c r="Q105" s="231"/>
      <c r="R105" s="231"/>
      <c r="S105" s="7"/>
    </row>
    <row r="106" spans="2:19" ht="21" customHeight="1">
      <c r="B106" s="7"/>
      <c r="C106" s="280" t="s">
        <v>43</v>
      </c>
      <c r="D106" s="280"/>
      <c r="E106" s="280"/>
      <c r="F106" s="280"/>
      <c r="G106" s="341"/>
      <c r="H106" s="194" t="s">
        <v>104</v>
      </c>
      <c r="I106" s="194"/>
      <c r="J106" s="194"/>
      <c r="K106" s="194">
        <v>1</v>
      </c>
      <c r="L106" s="232"/>
      <c r="M106" s="234"/>
      <c r="N106" s="234"/>
      <c r="O106" s="234"/>
      <c r="P106" s="231">
        <f>IF(AND(P104="",P105=""),"",ROUNDDOWN(SUM(P104:R105)*0.15,0))</f>
        <v>2527</v>
      </c>
      <c r="Q106" s="231"/>
      <c r="R106" s="231"/>
      <c r="S106" s="7"/>
    </row>
    <row r="107" spans="2:19" ht="21" customHeight="1">
      <c r="B107" s="7"/>
      <c r="C107" s="196" t="s">
        <v>44</v>
      </c>
      <c r="D107" s="196"/>
      <c r="E107" s="196"/>
      <c r="F107" s="196"/>
      <c r="G107" s="352"/>
      <c r="H107" s="196"/>
      <c r="I107" s="196"/>
      <c r="J107" s="196"/>
      <c r="K107" s="196"/>
      <c r="L107" s="228"/>
      <c r="M107" s="229"/>
      <c r="N107" s="229"/>
      <c r="O107" s="229"/>
      <c r="P107" s="230">
        <f>IF(COUNT(P99:R106)&lt;8,"",SUM(P99:R106))</f>
        <v>105077</v>
      </c>
      <c r="Q107" s="230"/>
      <c r="R107" s="230"/>
      <c r="S107" s="7"/>
    </row>
    <row r="108" spans="2:19" ht="21" customHeight="1">
      <c r="B108" s="7"/>
      <c r="C108" s="7"/>
      <c r="D108" s="7"/>
      <c r="E108" s="7"/>
      <c r="F108" s="7"/>
      <c r="G108" s="7"/>
      <c r="H108" s="7"/>
      <c r="I108" s="7"/>
      <c r="J108" s="7"/>
      <c r="K108" s="7"/>
      <c r="L108" s="7"/>
      <c r="M108" s="7"/>
      <c r="N108" s="7"/>
      <c r="O108" s="7"/>
      <c r="P108" s="160">
        <f>IF(P107="","",ROUNDDOWN(P107,-3))</f>
        <v>105000</v>
      </c>
      <c r="Q108" s="371"/>
      <c r="R108" s="161"/>
      <c r="S108" s="7"/>
    </row>
    <row r="109" spans="2:19" ht="21" customHeight="1">
      <c r="B109" s="7"/>
      <c r="C109" s="342" t="s">
        <v>45</v>
      </c>
      <c r="D109" s="411" t="s">
        <v>46</v>
      </c>
      <c r="E109" s="412"/>
      <c r="F109" s="412"/>
      <c r="G109" s="412"/>
      <c r="H109" s="412"/>
      <c r="I109" s="372" t="s">
        <v>48</v>
      </c>
      <c r="J109" s="372"/>
      <c r="K109" s="372"/>
      <c r="L109" s="47">
        <v>1</v>
      </c>
      <c r="M109" s="7"/>
      <c r="N109" s="7"/>
      <c r="O109" s="7"/>
      <c r="P109" s="159">
        <f>IF(P108="","",ROUNDDOWN(P108/3,-3))</f>
        <v>35000</v>
      </c>
      <c r="Q109" s="155"/>
      <c r="R109" s="156"/>
      <c r="S109" s="4" t="s">
        <v>106</v>
      </c>
    </row>
    <row r="110" spans="2:19" ht="21" customHeight="1">
      <c r="B110" s="7"/>
      <c r="C110" s="343"/>
      <c r="D110" s="375" t="s">
        <v>47</v>
      </c>
      <c r="E110" s="376"/>
      <c r="F110" s="376"/>
      <c r="G110" s="376"/>
      <c r="H110" s="376"/>
      <c r="I110" s="373" t="s">
        <v>48</v>
      </c>
      <c r="J110" s="373"/>
      <c r="K110" s="373"/>
      <c r="L110" s="48">
        <v>0.9</v>
      </c>
      <c r="M110" s="7"/>
      <c r="N110" s="7"/>
      <c r="O110" s="7"/>
      <c r="P110" s="7"/>
      <c r="Q110" s="7"/>
      <c r="R110" s="7"/>
      <c r="S110" s="7"/>
    </row>
    <row r="111" spans="2:19" ht="9.75" customHeight="1">
      <c r="B111" s="7"/>
      <c r="C111" s="7"/>
      <c r="D111" s="7"/>
      <c r="E111" s="7"/>
      <c r="F111" s="7"/>
      <c r="G111" s="7"/>
      <c r="H111" s="7"/>
      <c r="I111" s="7"/>
      <c r="J111" s="7"/>
      <c r="K111" s="7"/>
      <c r="L111" s="7"/>
      <c r="M111" s="7"/>
      <c r="N111" s="7"/>
      <c r="O111" s="7"/>
      <c r="P111" s="7"/>
      <c r="Q111" s="7"/>
      <c r="R111" s="7"/>
      <c r="S111" s="7"/>
    </row>
    <row r="112" spans="2:19" ht="21" customHeight="1">
      <c r="B112" s="7"/>
      <c r="C112" s="7"/>
      <c r="D112" s="4"/>
      <c r="E112" s="7"/>
      <c r="F112" s="7"/>
      <c r="G112" s="35" t="s">
        <v>372</v>
      </c>
      <c r="H112" s="22"/>
      <c r="I112" s="54">
        <f>IF(OR(Q9="",K40=""),"",K40)</f>
      </c>
      <c r="J112" s="52" t="s">
        <v>112</v>
      </c>
      <c r="K112" s="374">
        <f>IF(OR(Q9="",P109=""),"",P109)</f>
      </c>
      <c r="L112" s="156"/>
      <c r="M112" s="495" t="s">
        <v>113</v>
      </c>
      <c r="N112" s="496"/>
      <c r="O112" s="56">
        <f>IF(I112="","",IF(I112&lt;10,1,0.9))</f>
      </c>
      <c r="P112" s="31" t="s">
        <v>300</v>
      </c>
      <c r="Q112" s="159">
        <f>IF(I112=0,0,IF(COUNT(I112,K112,O112)&lt;3,"",I112*K112*O112))</f>
      </c>
      <c r="R112" s="156"/>
      <c r="S112" s="4" t="s">
        <v>121</v>
      </c>
    </row>
    <row r="113" spans="2:19" ht="6" customHeight="1">
      <c r="B113" s="7"/>
      <c r="C113" s="7"/>
      <c r="D113" s="7"/>
      <c r="E113" s="7"/>
      <c r="F113" s="7"/>
      <c r="G113" s="7"/>
      <c r="H113" s="7"/>
      <c r="I113" s="7"/>
      <c r="J113" s="7"/>
      <c r="K113" s="7"/>
      <c r="L113" s="7"/>
      <c r="M113" s="7"/>
      <c r="N113" s="7"/>
      <c r="O113" s="7"/>
      <c r="P113" s="7"/>
      <c r="Q113" s="7"/>
      <c r="R113" s="7"/>
      <c r="S113" s="7"/>
    </row>
    <row r="114" spans="2:19" ht="21" customHeight="1">
      <c r="B114" s="30" t="s">
        <v>55</v>
      </c>
      <c r="C114" s="4" t="s">
        <v>458</v>
      </c>
      <c r="D114" s="4"/>
      <c r="E114" s="7"/>
      <c r="F114" s="7"/>
      <c r="G114" s="7"/>
      <c r="H114" s="7"/>
      <c r="I114" s="7"/>
      <c r="J114" s="7"/>
      <c r="K114" s="7"/>
      <c r="L114" s="7"/>
      <c r="M114" s="7"/>
      <c r="N114" s="7"/>
      <c r="O114" s="7"/>
      <c r="P114" s="7"/>
      <c r="Q114" s="7"/>
      <c r="R114" s="7"/>
      <c r="S114" s="7"/>
    </row>
    <row r="115" spans="2:19" ht="21" customHeight="1">
      <c r="B115" s="7"/>
      <c r="C115" s="145" t="s">
        <v>37</v>
      </c>
      <c r="D115" s="145"/>
      <c r="E115" s="145"/>
      <c r="F115" s="145"/>
      <c r="G115" s="145"/>
      <c r="H115" s="145" t="s">
        <v>99</v>
      </c>
      <c r="I115" s="145"/>
      <c r="J115" s="145"/>
      <c r="K115" s="145" t="s">
        <v>100</v>
      </c>
      <c r="L115" s="422"/>
      <c r="M115" s="145" t="s">
        <v>101</v>
      </c>
      <c r="N115" s="145"/>
      <c r="O115" s="145"/>
      <c r="P115" s="145" t="s">
        <v>102</v>
      </c>
      <c r="Q115" s="145"/>
      <c r="R115" s="145"/>
      <c r="S115" s="7"/>
    </row>
    <row r="116" spans="2:19" ht="21" customHeight="1">
      <c r="B116" s="7"/>
      <c r="C116" s="370" t="s">
        <v>49</v>
      </c>
      <c r="D116" s="370"/>
      <c r="E116" s="370"/>
      <c r="F116" s="370"/>
      <c r="G116" s="370"/>
      <c r="H116" s="202" t="s">
        <v>103</v>
      </c>
      <c r="I116" s="202"/>
      <c r="J116" s="202"/>
      <c r="K116" s="202">
        <v>0.2</v>
      </c>
      <c r="L116" s="429"/>
      <c r="M116" s="421">
        <v>15600</v>
      </c>
      <c r="N116" s="421"/>
      <c r="O116" s="421"/>
      <c r="P116" s="415">
        <f>IF(M116="","",K116*M116)</f>
        <v>3120</v>
      </c>
      <c r="Q116" s="415"/>
      <c r="R116" s="415"/>
      <c r="S116" s="7"/>
    </row>
    <row r="117" spans="2:19" ht="21" customHeight="1">
      <c r="B117" s="7"/>
      <c r="C117" s="280" t="s">
        <v>50</v>
      </c>
      <c r="D117" s="280"/>
      <c r="E117" s="280"/>
      <c r="F117" s="280"/>
      <c r="G117" s="280"/>
      <c r="H117" s="194" t="s">
        <v>104</v>
      </c>
      <c r="I117" s="194"/>
      <c r="J117" s="194"/>
      <c r="K117" s="194">
        <v>1</v>
      </c>
      <c r="L117" s="369"/>
      <c r="M117" s="194"/>
      <c r="N117" s="194"/>
      <c r="O117" s="194"/>
      <c r="P117" s="233">
        <v>3500</v>
      </c>
      <c r="Q117" s="233"/>
      <c r="R117" s="233"/>
      <c r="S117" s="7"/>
    </row>
    <row r="118" spans="2:19" ht="21" customHeight="1">
      <c r="B118" s="7"/>
      <c r="C118" s="280" t="s">
        <v>51</v>
      </c>
      <c r="D118" s="280"/>
      <c r="E118" s="280"/>
      <c r="F118" s="280"/>
      <c r="G118" s="280"/>
      <c r="H118" s="194" t="s">
        <v>103</v>
      </c>
      <c r="I118" s="194"/>
      <c r="J118" s="194"/>
      <c r="K118" s="194">
        <v>0.2</v>
      </c>
      <c r="L118" s="369"/>
      <c r="M118" s="233">
        <v>12800</v>
      </c>
      <c r="N118" s="233"/>
      <c r="O118" s="233"/>
      <c r="P118" s="231">
        <f>IF(M118="","",K118*M118)</f>
        <v>2560</v>
      </c>
      <c r="Q118" s="231"/>
      <c r="R118" s="231"/>
      <c r="S118" s="7"/>
    </row>
    <row r="119" spans="2:19" ht="21" customHeight="1">
      <c r="B119" s="7"/>
      <c r="C119" s="280" t="s">
        <v>52</v>
      </c>
      <c r="D119" s="280"/>
      <c r="E119" s="280"/>
      <c r="F119" s="280"/>
      <c r="G119" s="280"/>
      <c r="H119" s="194" t="s">
        <v>103</v>
      </c>
      <c r="I119" s="194"/>
      <c r="J119" s="194"/>
      <c r="K119" s="194">
        <v>0.2</v>
      </c>
      <c r="L119" s="369"/>
      <c r="M119" s="233">
        <v>17200</v>
      </c>
      <c r="N119" s="233"/>
      <c r="O119" s="233"/>
      <c r="P119" s="231">
        <f>IF(M119="","",K119*M119)</f>
        <v>3440</v>
      </c>
      <c r="Q119" s="231"/>
      <c r="R119" s="231"/>
      <c r="S119" s="7"/>
    </row>
    <row r="120" spans="2:19" ht="21" customHeight="1">
      <c r="B120" s="7"/>
      <c r="C120" s="280" t="s">
        <v>53</v>
      </c>
      <c r="D120" s="280"/>
      <c r="E120" s="280"/>
      <c r="F120" s="280"/>
      <c r="G120" s="280"/>
      <c r="H120" s="194" t="s">
        <v>103</v>
      </c>
      <c r="I120" s="194"/>
      <c r="J120" s="194"/>
      <c r="K120" s="194">
        <v>0.2</v>
      </c>
      <c r="L120" s="369"/>
      <c r="M120" s="233">
        <v>15700</v>
      </c>
      <c r="N120" s="233"/>
      <c r="O120" s="233"/>
      <c r="P120" s="231">
        <f>IF(M120="","",K120*M120)</f>
        <v>3140</v>
      </c>
      <c r="Q120" s="231"/>
      <c r="R120" s="231"/>
      <c r="S120" s="7"/>
    </row>
    <row r="121" spans="2:19" ht="21" customHeight="1">
      <c r="B121" s="7"/>
      <c r="C121" s="280" t="s">
        <v>54</v>
      </c>
      <c r="D121" s="280"/>
      <c r="E121" s="280"/>
      <c r="F121" s="280"/>
      <c r="G121" s="280"/>
      <c r="H121" s="194" t="s">
        <v>103</v>
      </c>
      <c r="I121" s="194"/>
      <c r="J121" s="194"/>
      <c r="K121" s="194">
        <v>0.2</v>
      </c>
      <c r="L121" s="369"/>
      <c r="M121" s="233">
        <v>14700</v>
      </c>
      <c r="N121" s="233"/>
      <c r="O121" s="233"/>
      <c r="P121" s="231">
        <f>IF(M121="","",K121*M121)</f>
        <v>2940</v>
      </c>
      <c r="Q121" s="231"/>
      <c r="R121" s="231"/>
      <c r="S121" s="7"/>
    </row>
    <row r="122" spans="2:19" ht="21" customHeight="1">
      <c r="B122" s="7"/>
      <c r="C122" s="280" t="s">
        <v>43</v>
      </c>
      <c r="D122" s="280"/>
      <c r="E122" s="280"/>
      <c r="F122" s="280"/>
      <c r="G122" s="280"/>
      <c r="H122" s="194" t="s">
        <v>104</v>
      </c>
      <c r="I122" s="194"/>
      <c r="J122" s="194"/>
      <c r="K122" s="194">
        <v>0.2</v>
      </c>
      <c r="L122" s="369"/>
      <c r="M122" s="194"/>
      <c r="N122" s="194"/>
      <c r="O122" s="194"/>
      <c r="P122" s="231">
        <f>IF(AND(P120="",P121=""),"",ROUNDDOWN(SUM(P116:R121)*0.15,0))</f>
        <v>2805</v>
      </c>
      <c r="Q122" s="231"/>
      <c r="R122" s="231"/>
      <c r="S122" s="7"/>
    </row>
    <row r="123" spans="2:19" ht="21" customHeight="1">
      <c r="B123" s="7"/>
      <c r="C123" s="280" t="s">
        <v>41</v>
      </c>
      <c r="D123" s="280"/>
      <c r="E123" s="280"/>
      <c r="F123" s="280"/>
      <c r="G123" s="280"/>
      <c r="H123" s="194" t="s">
        <v>105</v>
      </c>
      <c r="I123" s="194"/>
      <c r="J123" s="194"/>
      <c r="K123" s="194">
        <v>1</v>
      </c>
      <c r="L123" s="369"/>
      <c r="M123" s="233">
        <v>3500</v>
      </c>
      <c r="N123" s="233"/>
      <c r="O123" s="233"/>
      <c r="P123" s="231">
        <f>IF(M123="","",K123*M123)</f>
        <v>3500</v>
      </c>
      <c r="Q123" s="231"/>
      <c r="R123" s="231"/>
      <c r="S123" s="7"/>
    </row>
    <row r="124" spans="2:19" ht="21" customHeight="1">
      <c r="B124" s="7"/>
      <c r="C124" s="196" t="s">
        <v>44</v>
      </c>
      <c r="D124" s="196"/>
      <c r="E124" s="196"/>
      <c r="F124" s="196"/>
      <c r="G124" s="196"/>
      <c r="H124" s="196"/>
      <c r="I124" s="196"/>
      <c r="J124" s="196"/>
      <c r="K124" s="196"/>
      <c r="L124" s="488"/>
      <c r="M124" s="196"/>
      <c r="N124" s="196"/>
      <c r="O124" s="196"/>
      <c r="P124" s="230">
        <f>IF(COUNT(P116:R123)&lt;8,"",SUM(P116:R123))</f>
        <v>25005</v>
      </c>
      <c r="Q124" s="230"/>
      <c r="R124" s="230"/>
      <c r="S124" s="7"/>
    </row>
    <row r="125" spans="2:19" ht="21" customHeight="1">
      <c r="B125" s="7"/>
      <c r="C125" s="7"/>
      <c r="D125" s="7"/>
      <c r="E125" s="7"/>
      <c r="F125" s="7"/>
      <c r="G125" s="7"/>
      <c r="H125" s="7"/>
      <c r="I125" s="7"/>
      <c r="J125" s="7"/>
      <c r="K125" s="7"/>
      <c r="L125" s="7"/>
      <c r="M125" s="7"/>
      <c r="N125" s="7"/>
      <c r="O125" s="7"/>
      <c r="P125" s="160">
        <f>IF(P124="","",ROUNDDOWN(P124,-3))</f>
        <v>25000</v>
      </c>
      <c r="Q125" s="371"/>
      <c r="R125" s="161"/>
      <c r="S125" s="4" t="s">
        <v>123</v>
      </c>
    </row>
    <row r="126" spans="2:19" ht="6" customHeight="1">
      <c r="B126" s="7"/>
      <c r="C126" s="7"/>
      <c r="D126" s="4"/>
      <c r="E126" s="7"/>
      <c r="F126" s="7"/>
      <c r="G126" s="7"/>
      <c r="H126" s="7"/>
      <c r="I126" s="7"/>
      <c r="J126" s="7"/>
      <c r="K126" s="7"/>
      <c r="L126" s="7"/>
      <c r="M126" s="7"/>
      <c r="N126" s="7"/>
      <c r="O126" s="7"/>
      <c r="P126" s="7"/>
      <c r="Q126" s="7"/>
      <c r="R126" s="7"/>
      <c r="S126" s="7"/>
    </row>
    <row r="127" spans="2:19" ht="21" customHeight="1">
      <c r="B127" s="7"/>
      <c r="C127" s="7"/>
      <c r="D127" s="7"/>
      <c r="E127" s="7"/>
      <c r="F127" s="7"/>
      <c r="G127" s="35" t="s">
        <v>373</v>
      </c>
      <c r="H127" s="22"/>
      <c r="I127" s="54">
        <f>IF(OR(Q10="",K41=""),"",K41)</f>
      </c>
      <c r="J127" s="52" t="s">
        <v>133</v>
      </c>
      <c r="K127" s="159">
        <f>IF(OR(Q10="",P125=""),"",P125)</f>
      </c>
      <c r="L127" s="156"/>
      <c r="M127" s="493" t="s">
        <v>128</v>
      </c>
      <c r="N127" s="493"/>
      <c r="O127" s="494"/>
      <c r="P127" s="159">
        <f>IF(OR(I127="",K127=""),"",I127*K127)</f>
      </c>
      <c r="Q127" s="155"/>
      <c r="R127" s="156"/>
      <c r="S127" s="4" t="s">
        <v>121</v>
      </c>
    </row>
    <row r="128" spans="2:19" ht="21" customHeight="1">
      <c r="B128" s="30" t="s">
        <v>189</v>
      </c>
      <c r="C128" s="4" t="s">
        <v>366</v>
      </c>
      <c r="D128" s="7"/>
      <c r="E128" s="7"/>
      <c r="F128" s="7"/>
      <c r="G128" s="7"/>
      <c r="H128" s="22"/>
      <c r="I128" s="22"/>
      <c r="J128" s="7"/>
      <c r="K128" s="7"/>
      <c r="L128" s="7"/>
      <c r="M128" s="7"/>
      <c r="N128" s="7"/>
      <c r="O128" s="7"/>
      <c r="P128" s="7"/>
      <c r="Q128" s="7"/>
      <c r="R128" s="7"/>
      <c r="S128" s="7"/>
    </row>
    <row r="129" spans="2:19" ht="21" customHeight="1">
      <c r="B129" s="30"/>
      <c r="C129" s="4" t="s">
        <v>457</v>
      </c>
      <c r="D129" s="7"/>
      <c r="E129" s="7"/>
      <c r="F129" s="7"/>
      <c r="G129" s="7"/>
      <c r="H129" s="22"/>
      <c r="I129" s="22"/>
      <c r="J129" s="7"/>
      <c r="K129" s="7"/>
      <c r="L129" s="7"/>
      <c r="M129" s="7"/>
      <c r="N129" s="35"/>
      <c r="O129" s="7"/>
      <c r="P129" s="7"/>
      <c r="Q129" s="7"/>
      <c r="R129" s="7"/>
      <c r="S129" s="7"/>
    </row>
    <row r="130" spans="2:19" ht="21" customHeight="1">
      <c r="B130" s="30"/>
      <c r="C130" s="145" t="s">
        <v>37</v>
      </c>
      <c r="D130" s="145"/>
      <c r="E130" s="145"/>
      <c r="F130" s="145"/>
      <c r="G130" s="145"/>
      <c r="H130" s="145" t="s">
        <v>99</v>
      </c>
      <c r="I130" s="145"/>
      <c r="J130" s="145"/>
      <c r="K130" s="145" t="s">
        <v>100</v>
      </c>
      <c r="L130" s="422"/>
      <c r="M130" s="145" t="s">
        <v>101</v>
      </c>
      <c r="N130" s="145"/>
      <c r="O130" s="145"/>
      <c r="P130" s="145" t="s">
        <v>102</v>
      </c>
      <c r="Q130" s="145"/>
      <c r="R130" s="145"/>
      <c r="S130" s="7"/>
    </row>
    <row r="131" spans="2:19" ht="21" customHeight="1">
      <c r="B131" s="30"/>
      <c r="C131" s="370" t="s">
        <v>367</v>
      </c>
      <c r="D131" s="370"/>
      <c r="E131" s="370"/>
      <c r="F131" s="370"/>
      <c r="G131" s="370"/>
      <c r="H131" s="202" t="s">
        <v>103</v>
      </c>
      <c r="I131" s="202"/>
      <c r="J131" s="202"/>
      <c r="K131" s="202">
        <v>0.2</v>
      </c>
      <c r="L131" s="429"/>
      <c r="M131" s="421">
        <v>14200</v>
      </c>
      <c r="N131" s="421"/>
      <c r="O131" s="421"/>
      <c r="P131" s="415">
        <f>IF(M131="","",K131*M131)</f>
        <v>2840</v>
      </c>
      <c r="Q131" s="415"/>
      <c r="R131" s="415"/>
      <c r="S131" s="7"/>
    </row>
    <row r="132" spans="2:19" ht="21" customHeight="1">
      <c r="B132" s="30"/>
      <c r="C132" s="280" t="s">
        <v>368</v>
      </c>
      <c r="D132" s="280"/>
      <c r="E132" s="280"/>
      <c r="F132" s="280"/>
      <c r="G132" s="280"/>
      <c r="H132" s="194" t="s">
        <v>103</v>
      </c>
      <c r="I132" s="194"/>
      <c r="J132" s="194"/>
      <c r="K132" s="194">
        <v>0.2</v>
      </c>
      <c r="L132" s="369"/>
      <c r="M132" s="233">
        <v>12800</v>
      </c>
      <c r="N132" s="233"/>
      <c r="O132" s="233"/>
      <c r="P132" s="231">
        <f>IF(M132="","",K132*M132)</f>
        <v>2560</v>
      </c>
      <c r="Q132" s="231"/>
      <c r="R132" s="231"/>
      <c r="S132" s="7"/>
    </row>
    <row r="133" spans="2:19" ht="21" customHeight="1">
      <c r="B133" s="30"/>
      <c r="C133" s="196" t="s">
        <v>44</v>
      </c>
      <c r="D133" s="196"/>
      <c r="E133" s="196"/>
      <c r="F133" s="196"/>
      <c r="G133" s="196"/>
      <c r="H133" s="196"/>
      <c r="I133" s="196"/>
      <c r="J133" s="196"/>
      <c r="K133" s="196"/>
      <c r="L133" s="488"/>
      <c r="M133" s="196"/>
      <c r="N133" s="196"/>
      <c r="O133" s="196"/>
      <c r="P133" s="230">
        <f>IF(OR(P131="",P132=""),"",SUM(P131:R132))</f>
        <v>5400</v>
      </c>
      <c r="Q133" s="230"/>
      <c r="R133" s="230"/>
      <c r="S133" s="7"/>
    </row>
    <row r="134" spans="2:19" ht="21" customHeight="1">
      <c r="B134" s="30"/>
      <c r="C134" s="7"/>
      <c r="D134" s="7"/>
      <c r="E134" s="7"/>
      <c r="F134" s="7"/>
      <c r="G134" s="7"/>
      <c r="H134" s="7"/>
      <c r="I134" s="7"/>
      <c r="J134" s="7"/>
      <c r="K134" s="7"/>
      <c r="L134" s="7"/>
      <c r="M134" s="7"/>
      <c r="N134" s="7"/>
      <c r="O134" s="7"/>
      <c r="P134" s="160">
        <f>IF(P133="","",ROUNDDOWN(P133,-3))</f>
        <v>5000</v>
      </c>
      <c r="Q134" s="371"/>
      <c r="R134" s="161"/>
      <c r="S134" s="4"/>
    </row>
    <row r="135" spans="2:19" ht="21" customHeight="1">
      <c r="B135" s="30"/>
      <c r="C135" s="7"/>
      <c r="D135" s="7"/>
      <c r="E135" s="7"/>
      <c r="F135" s="7"/>
      <c r="G135" s="7"/>
      <c r="H135" s="7"/>
      <c r="I135" s="7"/>
      <c r="J135" s="7"/>
      <c r="K135" s="7"/>
      <c r="L135" s="7"/>
      <c r="M135" s="7"/>
      <c r="N135" s="7"/>
      <c r="O135" s="7"/>
      <c r="P135" s="160">
        <f>IF(P134="","",ROUNDDOWN(P134/2,-2))</f>
        <v>2500</v>
      </c>
      <c r="Q135" s="371"/>
      <c r="R135" s="161"/>
      <c r="S135" s="4" t="s">
        <v>123</v>
      </c>
    </row>
    <row r="136" spans="2:19" ht="21" customHeight="1">
      <c r="B136" s="30"/>
      <c r="C136" s="4" t="s">
        <v>456</v>
      </c>
      <c r="D136" s="7"/>
      <c r="E136" s="7"/>
      <c r="F136" s="7"/>
      <c r="G136" s="7"/>
      <c r="H136" s="22"/>
      <c r="I136" s="22"/>
      <c r="J136" s="7"/>
      <c r="K136" s="7"/>
      <c r="L136" s="7"/>
      <c r="M136" s="7"/>
      <c r="N136" s="35"/>
      <c r="O136" s="7"/>
      <c r="P136" s="7"/>
      <c r="Q136" s="7"/>
      <c r="R136" s="7"/>
      <c r="S136" s="7"/>
    </row>
    <row r="137" spans="2:19" ht="21" customHeight="1">
      <c r="B137" s="30"/>
      <c r="C137" s="579" t="s">
        <v>369</v>
      </c>
      <c r="D137" s="370"/>
      <c r="E137" s="370"/>
      <c r="F137" s="370"/>
      <c r="G137" s="370"/>
      <c r="H137" s="202" t="s">
        <v>104</v>
      </c>
      <c r="I137" s="202"/>
      <c r="J137" s="202"/>
      <c r="K137" s="202">
        <v>1</v>
      </c>
      <c r="L137" s="429"/>
      <c r="M137" s="544"/>
      <c r="N137" s="544"/>
      <c r="O137" s="544"/>
      <c r="P137" s="421">
        <v>3000</v>
      </c>
      <c r="Q137" s="421"/>
      <c r="R137" s="421"/>
      <c r="S137" s="7"/>
    </row>
    <row r="138" spans="2:19" ht="21" customHeight="1">
      <c r="B138" s="30"/>
      <c r="C138" s="305" t="s">
        <v>370</v>
      </c>
      <c r="D138" s="580"/>
      <c r="E138" s="580"/>
      <c r="F138" s="580"/>
      <c r="G138" s="581"/>
      <c r="H138" s="196" t="s">
        <v>104</v>
      </c>
      <c r="I138" s="196"/>
      <c r="J138" s="196"/>
      <c r="K138" s="196">
        <v>1</v>
      </c>
      <c r="L138" s="488"/>
      <c r="M138" s="196"/>
      <c r="N138" s="196"/>
      <c r="O138" s="196"/>
      <c r="P138" s="543">
        <v>3500</v>
      </c>
      <c r="Q138" s="543"/>
      <c r="R138" s="543"/>
      <c r="S138" s="7"/>
    </row>
    <row r="139" spans="2:19" ht="21" customHeight="1">
      <c r="B139" s="30"/>
      <c r="C139" s="7"/>
      <c r="D139" s="7"/>
      <c r="E139" s="7"/>
      <c r="F139" s="7"/>
      <c r="G139" s="7"/>
      <c r="H139" s="7"/>
      <c r="I139" s="7"/>
      <c r="J139" s="7"/>
      <c r="K139" s="7"/>
      <c r="L139" s="7"/>
      <c r="M139" s="7"/>
      <c r="N139" s="7"/>
      <c r="O139" s="7"/>
      <c r="P139" s="160">
        <f>IF(OR(P137="",P138=""),"",SUM(P137:R138))</f>
        <v>6500</v>
      </c>
      <c r="Q139" s="371"/>
      <c r="R139" s="161"/>
      <c r="S139" s="4" t="s">
        <v>121</v>
      </c>
    </row>
    <row r="140" spans="2:19" ht="9.75" customHeight="1">
      <c r="B140" s="30"/>
      <c r="C140" s="7"/>
      <c r="D140" s="7"/>
      <c r="E140" s="7"/>
      <c r="F140" s="7"/>
      <c r="G140" s="7"/>
      <c r="H140" s="7"/>
      <c r="I140" s="7"/>
      <c r="J140" s="7"/>
      <c r="K140" s="7"/>
      <c r="L140" s="7"/>
      <c r="M140" s="539" t="s">
        <v>376</v>
      </c>
      <c r="N140" s="540"/>
      <c r="O140" s="273"/>
      <c r="P140" s="7"/>
      <c r="Q140" s="7"/>
      <c r="R140" s="7"/>
      <c r="S140" s="7"/>
    </row>
    <row r="141" spans="2:19" ht="21" customHeight="1">
      <c r="B141" s="30"/>
      <c r="C141" s="7"/>
      <c r="D141" s="4"/>
      <c r="E141" s="35" t="s">
        <v>371</v>
      </c>
      <c r="F141" s="54">
        <f>IF(OR(Q11="",K42=""),"",K42)</f>
      </c>
      <c r="G141" s="32" t="s">
        <v>133</v>
      </c>
      <c r="H141" s="159">
        <f>IF(OR(Q11="",P135=""),"",P135)</f>
      </c>
      <c r="I141" s="156"/>
      <c r="J141" s="31" t="s">
        <v>374</v>
      </c>
      <c r="K141" s="131">
        <f>IF(OR(Q11="",P139=""),"",P139)</f>
      </c>
      <c r="L141" s="31" t="s">
        <v>374</v>
      </c>
      <c r="M141" s="159">
        <f>IF(OR(Q11="",P42=""),"",P42)</f>
      </c>
      <c r="N141" s="537"/>
      <c r="O141" s="538"/>
      <c r="P141" s="31" t="s">
        <v>375</v>
      </c>
      <c r="Q141" s="159">
        <f>IF(F141=0,0,IF(COUNT(F141,H141,K141,M141)&lt;4,"",SUM(F141*H141,K141,M141)))</f>
      </c>
      <c r="R141" s="156"/>
      <c r="S141" s="4" t="s">
        <v>121</v>
      </c>
    </row>
    <row r="142" spans="2:19" ht="6" customHeight="1">
      <c r="B142" s="30"/>
      <c r="C142" s="7"/>
      <c r="D142" s="7"/>
      <c r="E142" s="7"/>
      <c r="F142" s="7"/>
      <c r="G142" s="7"/>
      <c r="H142" s="7"/>
      <c r="I142" s="7"/>
      <c r="J142" s="7"/>
      <c r="K142" s="7"/>
      <c r="L142" s="7"/>
      <c r="M142" s="7"/>
      <c r="N142" s="7"/>
      <c r="O142" s="7"/>
      <c r="P142" s="7"/>
      <c r="Q142" s="7"/>
      <c r="R142" s="7"/>
      <c r="S142" s="7"/>
    </row>
    <row r="143" spans="2:19" ht="21" customHeight="1">
      <c r="B143" s="35" t="s">
        <v>365</v>
      </c>
      <c r="C143" s="4" t="s">
        <v>190</v>
      </c>
      <c r="D143" s="7"/>
      <c r="E143" s="7"/>
      <c r="F143" s="7"/>
      <c r="G143" s="7"/>
      <c r="H143" s="22"/>
      <c r="I143" s="54">
        <f>IF(OR(Q12="",K43=""),"",K43)</f>
      </c>
      <c r="J143" s="52" t="s">
        <v>133</v>
      </c>
      <c r="K143" s="159">
        <f>IF(OR(Q12="",P43=""),"",P43)</f>
      </c>
      <c r="L143" s="156"/>
      <c r="M143" s="493" t="s">
        <v>128</v>
      </c>
      <c r="N143" s="493"/>
      <c r="O143" s="494"/>
      <c r="P143" s="159">
        <f>IF(OR(I143="",K143=""),"",I143*K143)</f>
      </c>
      <c r="Q143" s="155"/>
      <c r="R143" s="156"/>
      <c r="S143" s="4" t="s">
        <v>121</v>
      </c>
    </row>
    <row r="144" spans="2:19" ht="6" customHeight="1">
      <c r="B144" s="7"/>
      <c r="C144" s="7"/>
      <c r="D144" s="7"/>
      <c r="E144" s="7"/>
      <c r="F144" s="7"/>
      <c r="G144" s="7"/>
      <c r="H144" s="7"/>
      <c r="I144" s="7"/>
      <c r="J144" s="7"/>
      <c r="K144" s="7"/>
      <c r="L144" s="7"/>
      <c r="M144" s="7"/>
      <c r="N144" s="35"/>
      <c r="O144" s="16"/>
      <c r="P144" s="7"/>
      <c r="Q144" s="7"/>
      <c r="R144" s="7"/>
      <c r="S144" s="7"/>
    </row>
    <row r="145" spans="2:19" ht="21" customHeight="1">
      <c r="B145" s="7"/>
      <c r="C145" s="7"/>
      <c r="D145" s="35" t="s">
        <v>381</v>
      </c>
      <c r="E145" s="131">
        <f>IF(Q112="","",Q112)</f>
      </c>
      <c r="F145" s="35" t="s">
        <v>378</v>
      </c>
      <c r="G145" s="159">
        <f>IF(P127="","",P127)</f>
      </c>
      <c r="H145" s="155"/>
      <c r="I145" s="156"/>
      <c r="J145" s="35" t="s">
        <v>379</v>
      </c>
      <c r="K145" s="159">
        <f>IF(Q141="","",Q141)</f>
      </c>
      <c r="L145" s="156"/>
      <c r="M145" s="35" t="s">
        <v>380</v>
      </c>
      <c r="N145" s="159">
        <f>IF(P143="","",P143)</f>
      </c>
      <c r="O145" s="155"/>
      <c r="P145" s="156"/>
      <c r="Q145" s="549"/>
      <c r="R145" s="549"/>
      <c r="S145" s="4"/>
    </row>
    <row r="146" spans="2:19" ht="6" customHeight="1">
      <c r="B146" s="7"/>
      <c r="C146" s="39"/>
      <c r="D146" s="132"/>
      <c r="E146" s="39"/>
      <c r="F146" s="39"/>
      <c r="G146" s="39"/>
      <c r="H146" s="39"/>
      <c r="I146" s="39"/>
      <c r="J146" s="39"/>
      <c r="K146" s="39"/>
      <c r="L146" s="39"/>
      <c r="M146" s="39"/>
      <c r="N146" s="39"/>
      <c r="O146" s="39"/>
      <c r="P146" s="39"/>
      <c r="Q146" s="39"/>
      <c r="R146" s="39"/>
      <c r="S146" s="132"/>
    </row>
    <row r="147" spans="2:19" ht="21" customHeight="1">
      <c r="B147" s="7"/>
      <c r="C147" s="39"/>
      <c r="D147" s="132"/>
      <c r="E147" s="39"/>
      <c r="F147" s="39"/>
      <c r="G147" s="39"/>
      <c r="H147" s="39"/>
      <c r="I147" s="39"/>
      <c r="J147" s="39"/>
      <c r="K147" s="39"/>
      <c r="L147" s="39"/>
      <c r="M147" s="39"/>
      <c r="N147" s="39"/>
      <c r="O147" s="35" t="s">
        <v>377</v>
      </c>
      <c r="P147" s="159">
        <f>IF(COUNT(E145,G145,K145,N145)=0,"",SUM(E145,G145,K145,N145))</f>
      </c>
      <c r="Q147" s="155"/>
      <c r="R147" s="156"/>
      <c r="S147" s="4" t="s">
        <v>121</v>
      </c>
    </row>
    <row r="148" spans="2:19" ht="9.75" customHeight="1">
      <c r="B148" s="7"/>
      <c r="C148" s="39"/>
      <c r="D148" s="39"/>
      <c r="E148" s="39"/>
      <c r="F148" s="39"/>
      <c r="G148" s="39"/>
      <c r="H148" s="39"/>
      <c r="I148" s="39"/>
      <c r="J148" s="39"/>
      <c r="K148" s="39"/>
      <c r="L148" s="39"/>
      <c r="M148" s="39"/>
      <c r="N148" s="132"/>
      <c r="O148" s="22"/>
      <c r="P148" s="39"/>
      <c r="Q148" s="39"/>
      <c r="R148" s="39"/>
      <c r="S148" s="39"/>
    </row>
    <row r="149" spans="2:19" ht="18.75" customHeight="1">
      <c r="B149" s="50" t="s">
        <v>437</v>
      </c>
      <c r="C149" s="2" t="s">
        <v>56</v>
      </c>
      <c r="D149" s="2"/>
      <c r="E149" s="2"/>
      <c r="F149" s="2"/>
      <c r="G149" s="2"/>
      <c r="H149" s="2"/>
      <c r="I149" s="2"/>
      <c r="J149" s="2"/>
      <c r="K149" s="2"/>
      <c r="L149" s="2"/>
      <c r="M149" s="2"/>
      <c r="N149" s="2"/>
      <c r="O149" s="2"/>
      <c r="P149" s="2"/>
      <c r="Q149" s="2"/>
      <c r="R149" s="2"/>
      <c r="S149" s="2"/>
    </row>
    <row r="150" spans="2:19" ht="18.75" customHeight="1">
      <c r="B150" s="2"/>
      <c r="C150" s="2" t="s">
        <v>57</v>
      </c>
      <c r="D150" s="2"/>
      <c r="E150" s="2"/>
      <c r="F150" s="2"/>
      <c r="G150" s="2"/>
      <c r="H150" s="2"/>
      <c r="I150" s="2"/>
      <c r="J150" s="2"/>
      <c r="K150" s="2"/>
      <c r="L150" s="2"/>
      <c r="M150" s="2"/>
      <c r="N150" s="2"/>
      <c r="O150" s="2"/>
      <c r="P150" s="2"/>
      <c r="Q150" s="2"/>
      <c r="R150" s="2"/>
      <c r="S150" s="2"/>
    </row>
    <row r="151" spans="2:19" ht="18.75" customHeight="1">
      <c r="B151" s="2"/>
      <c r="C151" s="2"/>
      <c r="D151" s="3" t="s">
        <v>45</v>
      </c>
      <c r="E151" s="2" t="s">
        <v>59</v>
      </c>
      <c r="F151" s="2"/>
      <c r="G151" s="2"/>
      <c r="H151" s="2"/>
      <c r="I151" s="2"/>
      <c r="J151" s="2"/>
      <c r="K151" s="2"/>
      <c r="L151" s="2"/>
      <c r="M151" s="2"/>
      <c r="N151" s="2"/>
      <c r="O151" s="2"/>
      <c r="P151" s="2"/>
      <c r="Q151" s="2"/>
      <c r="R151" s="2"/>
      <c r="S151" s="2"/>
    </row>
    <row r="152" spans="2:19" ht="18.75" customHeight="1">
      <c r="B152" s="2"/>
      <c r="C152" s="463" t="s">
        <v>58</v>
      </c>
      <c r="D152" s="464"/>
      <c r="E152" s="464"/>
      <c r="F152" s="478" t="s">
        <v>145</v>
      </c>
      <c r="G152" s="479"/>
      <c r="H152" s="479"/>
      <c r="I152" s="479"/>
      <c r="J152" s="479"/>
      <c r="K152" s="479"/>
      <c r="L152" s="476" t="s">
        <v>301</v>
      </c>
      <c r="M152" s="477"/>
      <c r="N152" s="477"/>
      <c r="O152" s="477"/>
      <c r="P152" s="477"/>
      <c r="Q152" s="477"/>
      <c r="R152" s="464" t="s">
        <v>302</v>
      </c>
      <c r="S152" s="497"/>
    </row>
    <row r="153" spans="2:19" ht="15" customHeight="1">
      <c r="B153" s="2"/>
      <c r="C153" s="465"/>
      <c r="D153" s="466"/>
      <c r="E153" s="466"/>
      <c r="F153" s="480"/>
      <c r="G153" s="481"/>
      <c r="H153" s="481"/>
      <c r="I153" s="481"/>
      <c r="J153" s="481"/>
      <c r="K153" s="481"/>
      <c r="L153" s="204" t="s">
        <v>303</v>
      </c>
      <c r="M153" s="205"/>
      <c r="N153" s="459" t="s">
        <v>304</v>
      </c>
      <c r="O153" s="460"/>
      <c r="P153" s="461"/>
      <c r="Q153" s="457" t="s">
        <v>157</v>
      </c>
      <c r="R153" s="466"/>
      <c r="S153" s="498"/>
    </row>
    <row r="154" spans="2:19" ht="15" customHeight="1">
      <c r="B154" s="2"/>
      <c r="C154" s="467"/>
      <c r="D154" s="468"/>
      <c r="E154" s="468"/>
      <c r="F154" s="482"/>
      <c r="G154" s="482"/>
      <c r="H154" s="482"/>
      <c r="I154" s="482"/>
      <c r="J154" s="482"/>
      <c r="K154" s="482"/>
      <c r="L154" s="109" t="s">
        <v>153</v>
      </c>
      <c r="M154" s="109" t="s">
        <v>154</v>
      </c>
      <c r="N154" s="484" t="s">
        <v>155</v>
      </c>
      <c r="O154" s="484"/>
      <c r="P154" s="109" t="s">
        <v>156</v>
      </c>
      <c r="Q154" s="458"/>
      <c r="R154" s="468"/>
      <c r="S154" s="499"/>
    </row>
    <row r="155" spans="2:19" ht="15" customHeight="1">
      <c r="B155" s="2"/>
      <c r="C155" s="469"/>
      <c r="D155" s="470"/>
      <c r="E155" s="470"/>
      <c r="F155" s="483"/>
      <c r="G155" s="483"/>
      <c r="H155" s="483"/>
      <c r="I155" s="483"/>
      <c r="J155" s="483"/>
      <c r="K155" s="483"/>
      <c r="L155" s="83">
        <f>IF($U$52="","",IF($U$52=1,"○",""))</f>
      </c>
      <c r="M155" s="83">
        <f>IF($U$52="","",IF($U$52=2,"○",""))</f>
      </c>
      <c r="N155" s="507">
        <f>IF($U$52="","",IF($U$52=3,"○",""))</f>
      </c>
      <c r="O155" s="508">
        <f>IF($U$52="","",IF($U$52=1,"○",""))</f>
      </c>
      <c r="P155" s="83">
        <f>IF($U$52="","",IF($U$52=4,"○",""))</f>
      </c>
      <c r="Q155" s="84">
        <f>IF($U$52="","",IF($U$52=5,"○",""))</f>
      </c>
      <c r="R155" s="470"/>
      <c r="S155" s="500"/>
    </row>
    <row r="156" spans="2:21" ht="24" customHeight="1">
      <c r="B156" s="2"/>
      <c r="C156" s="344" t="s">
        <v>219</v>
      </c>
      <c r="D156" s="345"/>
      <c r="E156" s="346"/>
      <c r="F156" s="198" t="s">
        <v>305</v>
      </c>
      <c r="G156" s="199"/>
      <c r="H156" s="200"/>
      <c r="I156" s="200"/>
      <c r="J156" s="348" t="s">
        <v>306</v>
      </c>
      <c r="K156" s="349"/>
      <c r="L156" s="57">
        <v>1</v>
      </c>
      <c r="M156" s="57">
        <v>1.5</v>
      </c>
      <c r="N156" s="492">
        <v>1</v>
      </c>
      <c r="O156" s="492"/>
      <c r="P156" s="57">
        <v>1.5</v>
      </c>
      <c r="Q156" s="85">
        <v>0.4</v>
      </c>
      <c r="R156" s="504">
        <f>IF(OR($Q$13="",COUNT($Q$50,U156)&lt;2),"",ROUND((0.3+0.5*$Q$50)*U156,2))</f>
      </c>
      <c r="S156" s="505"/>
      <c r="U156" s="79">
        <f>IF($U$52="","",CHOOSE($U$52,L156,M156,N156,P156,Q156,""))</f>
      </c>
    </row>
    <row r="157" spans="2:21" ht="6" customHeight="1">
      <c r="B157" s="2"/>
      <c r="C157" s="210" t="s">
        <v>60</v>
      </c>
      <c r="D157" s="211"/>
      <c r="E157" s="212"/>
      <c r="F157" s="206" t="s">
        <v>307</v>
      </c>
      <c r="G157" s="207"/>
      <c r="H157" s="222" t="s">
        <v>270</v>
      </c>
      <c r="I157" s="5" t="s">
        <v>271</v>
      </c>
      <c r="J157" s="224" t="s">
        <v>308</v>
      </c>
      <c r="K157" s="225"/>
      <c r="L157" s="449">
        <v>1</v>
      </c>
      <c r="M157" s="449">
        <v>1.5</v>
      </c>
      <c r="N157" s="449">
        <v>1</v>
      </c>
      <c r="O157" s="449"/>
      <c r="P157" s="449">
        <v>1.5</v>
      </c>
      <c r="Q157" s="450">
        <v>0.4</v>
      </c>
      <c r="R157" s="454">
        <f>IF(OR($Q$13="",COUNT($Q$50,$J$30,$J$31,U157)&lt;4),"",ROUND((3+0.1*SQRT($J$30*$J$31))*$Q$50*0.5*U157,2))</f>
      </c>
      <c r="S157" s="302"/>
      <c r="U157" s="524">
        <f>IF($U$52="","",CHOOSE($U$52,L157,M157,N157,P157,Q157,""))</f>
      </c>
    </row>
    <row r="158" spans="2:21" ht="13.5" customHeight="1">
      <c r="B158" s="2"/>
      <c r="C158" s="336"/>
      <c r="D158" s="211"/>
      <c r="E158" s="212"/>
      <c r="F158" s="208"/>
      <c r="G158" s="209"/>
      <c r="H158" s="223"/>
      <c r="I158" s="38" t="s">
        <v>272</v>
      </c>
      <c r="J158" s="226"/>
      <c r="K158" s="227"/>
      <c r="L158" s="449"/>
      <c r="M158" s="449"/>
      <c r="N158" s="449"/>
      <c r="O158" s="449"/>
      <c r="P158" s="449"/>
      <c r="Q158" s="450"/>
      <c r="R158" s="489"/>
      <c r="S158" s="304"/>
      <c r="U158" s="525"/>
    </row>
    <row r="159" spans="2:21" ht="6" customHeight="1">
      <c r="B159" s="2"/>
      <c r="C159" s="210" t="s">
        <v>61</v>
      </c>
      <c r="D159" s="211"/>
      <c r="E159" s="212"/>
      <c r="F159" s="219" t="s">
        <v>309</v>
      </c>
      <c r="G159" s="220"/>
      <c r="H159" s="347" t="s">
        <v>310</v>
      </c>
      <c r="I159" s="33" t="s">
        <v>311</v>
      </c>
      <c r="J159" s="462" t="s">
        <v>312</v>
      </c>
      <c r="K159" s="444"/>
      <c r="L159" s="449">
        <v>1</v>
      </c>
      <c r="M159" s="449">
        <v>1.5</v>
      </c>
      <c r="N159" s="449">
        <v>0.8</v>
      </c>
      <c r="O159" s="449"/>
      <c r="P159" s="449">
        <v>1.2</v>
      </c>
      <c r="Q159" s="450">
        <v>0.2</v>
      </c>
      <c r="R159" s="454">
        <f>IF(OR($Q$13="",COUNT($J$30,$J$31,U159)&lt;3),"",ROUND((0.1*SQRT($J$30*$J$31))*0.5*U159,2))</f>
      </c>
      <c r="S159" s="302"/>
      <c r="U159" s="524">
        <f>IF($U$52="","",CHOOSE($U$52,L159,M159,N159,P159,Q159,""))</f>
      </c>
    </row>
    <row r="160" spans="2:21" ht="13.5" customHeight="1">
      <c r="B160" s="2"/>
      <c r="C160" s="336"/>
      <c r="D160" s="211"/>
      <c r="E160" s="212"/>
      <c r="F160" s="221"/>
      <c r="G160" s="220"/>
      <c r="H160" s="347"/>
      <c r="I160" s="36" t="s">
        <v>313</v>
      </c>
      <c r="J160" s="462"/>
      <c r="K160" s="444"/>
      <c r="L160" s="449"/>
      <c r="M160" s="449"/>
      <c r="N160" s="449"/>
      <c r="O160" s="449"/>
      <c r="P160" s="449"/>
      <c r="Q160" s="450"/>
      <c r="R160" s="489"/>
      <c r="S160" s="304"/>
      <c r="U160" s="526"/>
    </row>
    <row r="161" spans="2:21" ht="6" customHeight="1">
      <c r="B161" s="2"/>
      <c r="C161" s="210" t="s">
        <v>62</v>
      </c>
      <c r="D161" s="211"/>
      <c r="E161" s="212"/>
      <c r="F161" s="206" t="s">
        <v>314</v>
      </c>
      <c r="G161" s="207"/>
      <c r="H161" s="222" t="s">
        <v>315</v>
      </c>
      <c r="I161" s="5" t="s">
        <v>316</v>
      </c>
      <c r="J161" s="224" t="s">
        <v>317</v>
      </c>
      <c r="K161" s="225"/>
      <c r="L161" s="449">
        <v>1</v>
      </c>
      <c r="M161" s="449">
        <v>1.5</v>
      </c>
      <c r="N161" s="449">
        <v>0.5</v>
      </c>
      <c r="O161" s="449"/>
      <c r="P161" s="437">
        <v>0.75</v>
      </c>
      <c r="Q161" s="435" t="s">
        <v>318</v>
      </c>
      <c r="R161" s="454">
        <f>IF(OR($Q$13="",COUNT($J$30,$J$31,U161)&lt;3),"",ROUND((0.1*SQRT($J$30*$J$31))*0.5*U161,2))</f>
      </c>
      <c r="S161" s="302"/>
      <c r="U161" s="524">
        <f>IF($U$52="","",CHOOSE($U$52,L161,M161,N161,P161,Q161,""))</f>
      </c>
    </row>
    <row r="162" spans="2:21" ht="13.5" customHeight="1">
      <c r="B162" s="2"/>
      <c r="C162" s="336"/>
      <c r="D162" s="211"/>
      <c r="E162" s="212"/>
      <c r="F162" s="208"/>
      <c r="G162" s="209"/>
      <c r="H162" s="223"/>
      <c r="I162" s="38" t="s">
        <v>319</v>
      </c>
      <c r="J162" s="226"/>
      <c r="K162" s="227"/>
      <c r="L162" s="449"/>
      <c r="M162" s="449"/>
      <c r="N162" s="449"/>
      <c r="O162" s="449"/>
      <c r="P162" s="437"/>
      <c r="Q162" s="436"/>
      <c r="R162" s="489"/>
      <c r="S162" s="304"/>
      <c r="U162" s="525"/>
    </row>
    <row r="163" spans="2:21" ht="6" customHeight="1">
      <c r="B163" s="2"/>
      <c r="C163" s="210" t="s">
        <v>134</v>
      </c>
      <c r="D163" s="211"/>
      <c r="E163" s="212"/>
      <c r="F163" s="219" t="s">
        <v>320</v>
      </c>
      <c r="G163" s="220"/>
      <c r="H163" s="347" t="s">
        <v>315</v>
      </c>
      <c r="I163" s="33" t="s">
        <v>316</v>
      </c>
      <c r="J163" s="443" t="s">
        <v>321</v>
      </c>
      <c r="K163" s="444"/>
      <c r="L163" s="449">
        <v>1</v>
      </c>
      <c r="M163" s="449">
        <v>1.1</v>
      </c>
      <c r="N163" s="435" t="s">
        <v>318</v>
      </c>
      <c r="O163" s="490"/>
      <c r="P163" s="433" t="s">
        <v>318</v>
      </c>
      <c r="Q163" s="435" t="s">
        <v>318</v>
      </c>
      <c r="R163" s="454">
        <f>IF(OR($Q$13="",COUNT($Q$50,$J$30,$J$31,U163)&lt;4),"",ROUND((3+0.1*SQRT($J$30*$J$31))*$Q$50*0.25*U163,2))</f>
      </c>
      <c r="S163" s="302"/>
      <c r="U163" s="524">
        <f>IF($U$52="","",CHOOSE($U$52,L163,M163,N163,P163,Q163,""))</f>
      </c>
    </row>
    <row r="164" spans="2:21" ht="13.5" customHeight="1">
      <c r="B164" s="2"/>
      <c r="C164" s="336"/>
      <c r="D164" s="211"/>
      <c r="E164" s="212"/>
      <c r="F164" s="221"/>
      <c r="G164" s="220"/>
      <c r="H164" s="347"/>
      <c r="I164" s="36" t="s">
        <v>319</v>
      </c>
      <c r="J164" s="462"/>
      <c r="K164" s="444"/>
      <c r="L164" s="449"/>
      <c r="M164" s="449"/>
      <c r="N164" s="436"/>
      <c r="O164" s="491"/>
      <c r="P164" s="434"/>
      <c r="Q164" s="436"/>
      <c r="R164" s="489"/>
      <c r="S164" s="304"/>
      <c r="U164" s="525"/>
    </row>
    <row r="165" spans="2:21" ht="6" customHeight="1">
      <c r="B165" s="2"/>
      <c r="C165" s="210" t="s">
        <v>63</v>
      </c>
      <c r="D165" s="211"/>
      <c r="E165" s="212"/>
      <c r="F165" s="206" t="s">
        <v>320</v>
      </c>
      <c r="G165" s="207"/>
      <c r="H165" s="222" t="s">
        <v>315</v>
      </c>
      <c r="I165" s="5" t="s">
        <v>316</v>
      </c>
      <c r="J165" s="247" t="s">
        <v>322</v>
      </c>
      <c r="K165" s="225"/>
      <c r="L165" s="449">
        <v>1</v>
      </c>
      <c r="M165" s="449">
        <v>1.1</v>
      </c>
      <c r="N165" s="435" t="s">
        <v>318</v>
      </c>
      <c r="O165" s="490"/>
      <c r="P165" s="433" t="s">
        <v>318</v>
      </c>
      <c r="Q165" s="435" t="s">
        <v>318</v>
      </c>
      <c r="R165" s="454">
        <f>IF(OR($Q$13="",COUNT($Q$50,$J$30,$J$31,U165)&lt;4),"",ROUND((3+0.1*SQRT($J$30*$J$31))*$Q$50*0.125*U165,2))</f>
      </c>
      <c r="S165" s="302"/>
      <c r="U165" s="524">
        <f>IF($U$52="","",CHOOSE($U$52,L165,M165,N165,P165,Q165,""))</f>
      </c>
    </row>
    <row r="166" spans="2:21" ht="13.5" customHeight="1">
      <c r="B166" s="2"/>
      <c r="C166" s="336"/>
      <c r="D166" s="211"/>
      <c r="E166" s="212"/>
      <c r="F166" s="208"/>
      <c r="G166" s="209"/>
      <c r="H166" s="223"/>
      <c r="I166" s="38" t="s">
        <v>319</v>
      </c>
      <c r="J166" s="226"/>
      <c r="K166" s="227"/>
      <c r="L166" s="449"/>
      <c r="M166" s="449"/>
      <c r="N166" s="436"/>
      <c r="O166" s="491"/>
      <c r="P166" s="434"/>
      <c r="Q166" s="436"/>
      <c r="R166" s="489"/>
      <c r="S166" s="304"/>
      <c r="U166" s="525"/>
    </row>
    <row r="167" spans="2:21" ht="6" customHeight="1">
      <c r="B167" s="2"/>
      <c r="C167" s="210" t="s">
        <v>64</v>
      </c>
      <c r="D167" s="211"/>
      <c r="E167" s="212"/>
      <c r="F167" s="333" t="s">
        <v>323</v>
      </c>
      <c r="G167" s="220"/>
      <c r="H167" s="347" t="s">
        <v>324</v>
      </c>
      <c r="I167" s="33" t="s">
        <v>325</v>
      </c>
      <c r="J167" s="443" t="s">
        <v>326</v>
      </c>
      <c r="K167" s="444"/>
      <c r="L167" s="449">
        <v>1</v>
      </c>
      <c r="M167" s="449">
        <v>1.2</v>
      </c>
      <c r="N167" s="449">
        <v>0.8</v>
      </c>
      <c r="O167" s="449"/>
      <c r="P167" s="437">
        <v>0.96</v>
      </c>
      <c r="Q167" s="450">
        <v>0.2</v>
      </c>
      <c r="R167" s="454">
        <f>IF(OR($Q$13="",COUNT($J$30,$J$31,U167)&lt;3),"",ROUND((2+0.1*SQRT($J$30*$J$31))*0.5*U167,2))</f>
      </c>
      <c r="S167" s="302"/>
      <c r="U167" s="524">
        <f>IF($U$52="","",CHOOSE($U$52,L167,M167,N167,P167,Q167,""))</f>
      </c>
    </row>
    <row r="168" spans="2:21" ht="13.5" customHeight="1" thickBot="1">
      <c r="B168" s="2"/>
      <c r="C168" s="213"/>
      <c r="D168" s="214"/>
      <c r="E168" s="215"/>
      <c r="F168" s="334"/>
      <c r="G168" s="335"/>
      <c r="H168" s="442"/>
      <c r="I168" s="37" t="s">
        <v>327</v>
      </c>
      <c r="J168" s="445"/>
      <c r="K168" s="446"/>
      <c r="L168" s="501"/>
      <c r="M168" s="501"/>
      <c r="N168" s="501"/>
      <c r="O168" s="501"/>
      <c r="P168" s="438"/>
      <c r="Q168" s="451"/>
      <c r="R168" s="455"/>
      <c r="S168" s="456"/>
      <c r="U168" s="525"/>
    </row>
    <row r="169" spans="2:21" ht="18.75" customHeight="1" thickTop="1">
      <c r="B169" s="2"/>
      <c r="C169" s="216" t="s">
        <v>65</v>
      </c>
      <c r="D169" s="217"/>
      <c r="E169" s="218"/>
      <c r="F169" s="447" t="s">
        <v>333</v>
      </c>
      <c r="G169" s="448"/>
      <c r="H169" s="448"/>
      <c r="I169" s="448"/>
      <c r="J169" s="448"/>
      <c r="K169" s="448"/>
      <c r="L169" s="448"/>
      <c r="M169" s="448"/>
      <c r="N169" s="448"/>
      <c r="O169" s="448"/>
      <c r="P169" s="448"/>
      <c r="Q169" s="448"/>
      <c r="R169" s="439">
        <f>IF(Q13="","",IF(COUNT(Q48,J30,J31,U52)&lt;4,0,ROUND(SUM(R156:S168),0)))</f>
      </c>
      <c r="S169" s="440"/>
      <c r="U169" s="86"/>
    </row>
    <row r="170" spans="2:21" ht="18.75" customHeight="1">
      <c r="B170" s="2"/>
      <c r="C170" s="7" t="s">
        <v>160</v>
      </c>
      <c r="D170" s="39"/>
      <c r="E170" s="39"/>
      <c r="F170" s="39"/>
      <c r="G170" s="39"/>
      <c r="H170" s="7"/>
      <c r="I170" s="7"/>
      <c r="J170" s="7"/>
      <c r="K170" s="7"/>
      <c r="L170" s="7"/>
      <c r="M170" s="7"/>
      <c r="N170" s="7"/>
      <c r="O170" s="7"/>
      <c r="P170" s="7"/>
      <c r="Q170" s="7"/>
      <c r="R170" s="7"/>
      <c r="S170" s="7"/>
      <c r="U170" s="86"/>
    </row>
    <row r="171" spans="2:19" ht="18.75" customHeight="1">
      <c r="B171" s="2"/>
      <c r="C171" s="4" t="s">
        <v>161</v>
      </c>
      <c r="D171" s="39"/>
      <c r="E171" s="39"/>
      <c r="F171" s="39"/>
      <c r="G171" s="39"/>
      <c r="H171" s="7"/>
      <c r="I171" s="7"/>
      <c r="J171" s="7"/>
      <c r="K171" s="7"/>
      <c r="L171" s="7"/>
      <c r="M171" s="7"/>
      <c r="N171" s="7"/>
      <c r="O171" s="7"/>
      <c r="P171" s="7"/>
      <c r="Q171" s="7"/>
      <c r="R171" s="7"/>
      <c r="S171" s="7"/>
    </row>
    <row r="172" spans="2:19" ht="18.75" customHeight="1">
      <c r="B172" s="2"/>
      <c r="C172" s="7" t="s">
        <v>162</v>
      </c>
      <c r="D172" s="39"/>
      <c r="E172" s="39"/>
      <c r="F172" s="39"/>
      <c r="G172" s="39"/>
      <c r="H172" s="7"/>
      <c r="I172" s="7"/>
      <c r="J172" s="7"/>
      <c r="K172" s="7"/>
      <c r="L172" s="7"/>
      <c r="M172" s="7"/>
      <c r="N172" s="7"/>
      <c r="O172" s="7"/>
      <c r="P172" s="7"/>
      <c r="Q172" s="7"/>
      <c r="R172" s="7"/>
      <c r="S172" s="7"/>
    </row>
    <row r="173" spans="2:19" ht="18.75" customHeight="1">
      <c r="B173" s="2"/>
      <c r="C173" s="145" t="s">
        <v>163</v>
      </c>
      <c r="D173" s="201"/>
      <c r="E173" s="201"/>
      <c r="F173" s="201"/>
      <c r="G173" s="145" t="s">
        <v>173</v>
      </c>
      <c r="H173" s="201"/>
      <c r="I173" s="201"/>
      <c r="J173" s="201"/>
      <c r="K173" s="201"/>
      <c r="L173" s="201"/>
      <c r="M173" s="201"/>
      <c r="N173" s="201"/>
      <c r="O173" s="201"/>
      <c r="P173" s="201"/>
      <c r="Q173" s="201"/>
      <c r="R173" s="7"/>
      <c r="S173" s="7"/>
    </row>
    <row r="174" spans="2:19" ht="18.75" customHeight="1">
      <c r="B174" s="2"/>
      <c r="C174" s="201"/>
      <c r="D174" s="201"/>
      <c r="E174" s="201"/>
      <c r="F174" s="201"/>
      <c r="G174" s="145" t="s">
        <v>169</v>
      </c>
      <c r="H174" s="201"/>
      <c r="I174" s="201"/>
      <c r="J174" s="201"/>
      <c r="K174" s="145" t="s">
        <v>171</v>
      </c>
      <c r="L174" s="145"/>
      <c r="M174" s="145"/>
      <c r="N174" s="145" t="s">
        <v>172</v>
      </c>
      <c r="O174" s="145"/>
      <c r="P174" s="145"/>
      <c r="Q174" s="145"/>
      <c r="R174" s="7"/>
      <c r="S174" s="7"/>
    </row>
    <row r="175" spans="2:19" ht="18.75" customHeight="1">
      <c r="B175" s="2"/>
      <c r="C175" s="202" t="s">
        <v>164</v>
      </c>
      <c r="D175" s="203"/>
      <c r="E175" s="203"/>
      <c r="F175" s="203"/>
      <c r="G175" s="202">
        <v>2</v>
      </c>
      <c r="H175" s="202"/>
      <c r="I175" s="202"/>
      <c r="J175" s="202"/>
      <c r="K175" s="202">
        <v>2.2</v>
      </c>
      <c r="L175" s="202"/>
      <c r="M175" s="202"/>
      <c r="N175" s="202">
        <v>2.4</v>
      </c>
      <c r="O175" s="202"/>
      <c r="P175" s="202"/>
      <c r="Q175" s="202"/>
      <c r="R175" s="7"/>
      <c r="S175" s="7"/>
    </row>
    <row r="176" spans="2:19" ht="18.75" customHeight="1">
      <c r="B176" s="2"/>
      <c r="C176" s="194" t="s">
        <v>165</v>
      </c>
      <c r="D176" s="195"/>
      <c r="E176" s="195"/>
      <c r="F176" s="195"/>
      <c r="G176" s="194">
        <v>1.5</v>
      </c>
      <c r="H176" s="194"/>
      <c r="I176" s="194"/>
      <c r="J176" s="194"/>
      <c r="K176" s="194">
        <v>1.7</v>
      </c>
      <c r="L176" s="194"/>
      <c r="M176" s="194"/>
      <c r="N176" s="194">
        <v>1.8</v>
      </c>
      <c r="O176" s="194"/>
      <c r="P176" s="194"/>
      <c r="Q176" s="194"/>
      <c r="R176" s="7"/>
      <c r="S176" s="7"/>
    </row>
    <row r="177" spans="2:19" ht="18.75" customHeight="1">
      <c r="B177" s="2"/>
      <c r="C177" s="194" t="s">
        <v>166</v>
      </c>
      <c r="D177" s="195"/>
      <c r="E177" s="195"/>
      <c r="F177" s="195"/>
      <c r="G177" s="194">
        <v>1.2</v>
      </c>
      <c r="H177" s="194"/>
      <c r="I177" s="194"/>
      <c r="J177" s="194"/>
      <c r="K177" s="194">
        <v>1.3</v>
      </c>
      <c r="L177" s="194"/>
      <c r="M177" s="194"/>
      <c r="N177" s="194">
        <v>1.4</v>
      </c>
      <c r="O177" s="194"/>
      <c r="P177" s="194"/>
      <c r="Q177" s="194"/>
      <c r="R177" s="7"/>
      <c r="S177" s="7"/>
    </row>
    <row r="178" spans="2:19" ht="18.75" customHeight="1">
      <c r="B178" s="2"/>
      <c r="C178" s="194" t="s">
        <v>167</v>
      </c>
      <c r="D178" s="195"/>
      <c r="E178" s="195"/>
      <c r="F178" s="195"/>
      <c r="G178" s="194">
        <v>1</v>
      </c>
      <c r="H178" s="194"/>
      <c r="I178" s="194"/>
      <c r="J178" s="194"/>
      <c r="K178" s="194">
        <v>1.1</v>
      </c>
      <c r="L178" s="194"/>
      <c r="M178" s="194"/>
      <c r="N178" s="194">
        <v>1.2</v>
      </c>
      <c r="O178" s="194"/>
      <c r="P178" s="194"/>
      <c r="Q178" s="194"/>
      <c r="R178" s="7"/>
      <c r="S178" s="7"/>
    </row>
    <row r="179" spans="2:19" ht="18.75" customHeight="1">
      <c r="B179" s="2"/>
      <c r="C179" s="196" t="s">
        <v>168</v>
      </c>
      <c r="D179" s="197"/>
      <c r="E179" s="197"/>
      <c r="F179" s="197"/>
      <c r="G179" s="196" t="s">
        <v>170</v>
      </c>
      <c r="H179" s="196"/>
      <c r="I179" s="196"/>
      <c r="J179" s="196"/>
      <c r="K179" s="196">
        <v>1</v>
      </c>
      <c r="L179" s="196"/>
      <c r="M179" s="196"/>
      <c r="N179" s="196">
        <v>1</v>
      </c>
      <c r="O179" s="196"/>
      <c r="P179" s="196"/>
      <c r="Q179" s="196"/>
      <c r="R179" s="7"/>
      <c r="S179" s="7"/>
    </row>
    <row r="180" spans="2:19" ht="18.75" customHeight="1">
      <c r="B180" s="2"/>
      <c r="C180" s="7" t="s">
        <v>174</v>
      </c>
      <c r="D180" s="39"/>
      <c r="E180" s="39"/>
      <c r="F180" s="39"/>
      <c r="G180" s="39"/>
      <c r="H180" s="7"/>
      <c r="I180" s="7"/>
      <c r="J180" s="7"/>
      <c r="K180" s="7"/>
      <c r="L180" s="7"/>
      <c r="M180" s="7"/>
      <c r="N180" s="7"/>
      <c r="O180" s="7"/>
      <c r="P180" s="7"/>
      <c r="Q180" s="7"/>
      <c r="R180" s="7"/>
      <c r="S180" s="7"/>
    </row>
    <row r="181" spans="2:19" ht="18.75" customHeight="1">
      <c r="B181" s="2"/>
      <c r="C181" s="7" t="s">
        <v>175</v>
      </c>
      <c r="D181" s="39"/>
      <c r="E181" s="39"/>
      <c r="F181" s="39"/>
      <c r="G181" s="39"/>
      <c r="H181" s="7"/>
      <c r="I181" s="7"/>
      <c r="J181" s="7"/>
      <c r="K181" s="7"/>
      <c r="L181" s="7"/>
      <c r="M181" s="7"/>
      <c r="N181" s="7"/>
      <c r="O181" s="7"/>
      <c r="P181" s="7"/>
      <c r="Q181" s="7"/>
      <c r="R181" s="7"/>
      <c r="S181" s="7"/>
    </row>
    <row r="182" spans="2:19" ht="18.75" customHeight="1">
      <c r="B182" s="2"/>
      <c r="C182" s="145" t="s">
        <v>176</v>
      </c>
      <c r="D182" s="145"/>
      <c r="E182" s="145"/>
      <c r="F182" s="145"/>
      <c r="G182" s="145" t="s">
        <v>328</v>
      </c>
      <c r="H182" s="145"/>
      <c r="I182" s="145"/>
      <c r="J182" s="145"/>
      <c r="K182" s="7"/>
      <c r="L182" s="7"/>
      <c r="M182" s="7"/>
      <c r="N182" s="7"/>
      <c r="O182" s="7"/>
      <c r="P182" s="7"/>
      <c r="Q182" s="7"/>
      <c r="R182" s="7"/>
      <c r="S182" s="7"/>
    </row>
    <row r="183" spans="2:19" ht="18.75" customHeight="1">
      <c r="B183" s="2"/>
      <c r="C183" s="145" t="s">
        <v>177</v>
      </c>
      <c r="D183" s="145"/>
      <c r="E183" s="145"/>
      <c r="F183" s="145"/>
      <c r="G183" s="146">
        <v>2</v>
      </c>
      <c r="H183" s="146"/>
      <c r="I183" s="146"/>
      <c r="J183" s="146"/>
      <c r="K183" s="7"/>
      <c r="L183" s="7"/>
      <c r="M183" s="7"/>
      <c r="N183" s="7"/>
      <c r="O183" s="7"/>
      <c r="P183" s="7"/>
      <c r="Q183" s="7"/>
      <c r="R183" s="7"/>
      <c r="S183" s="7"/>
    </row>
    <row r="184" spans="2:19" ht="18.75" customHeight="1">
      <c r="B184" s="2"/>
      <c r="C184" s="145" t="s">
        <v>217</v>
      </c>
      <c r="D184" s="145"/>
      <c r="E184" s="145"/>
      <c r="F184" s="145"/>
      <c r="G184" s="146">
        <v>1.5</v>
      </c>
      <c r="H184" s="146"/>
      <c r="I184" s="146"/>
      <c r="J184" s="146"/>
      <c r="K184" s="7"/>
      <c r="L184" s="7"/>
      <c r="M184" s="7"/>
      <c r="N184" s="7"/>
      <c r="O184" s="7"/>
      <c r="P184" s="7"/>
      <c r="Q184" s="7"/>
      <c r="R184" s="7"/>
      <c r="S184" s="7"/>
    </row>
    <row r="185" spans="2:19" ht="18.75" customHeight="1">
      <c r="B185" s="2"/>
      <c r="C185" s="145" t="s">
        <v>210</v>
      </c>
      <c r="D185" s="145"/>
      <c r="E185" s="145"/>
      <c r="F185" s="145"/>
      <c r="G185" s="146">
        <v>1.2</v>
      </c>
      <c r="H185" s="146"/>
      <c r="I185" s="146"/>
      <c r="J185" s="146"/>
      <c r="K185" s="7"/>
      <c r="L185" s="7"/>
      <c r="M185" s="7"/>
      <c r="N185" s="7"/>
      <c r="O185" s="7"/>
      <c r="P185" s="7"/>
      <c r="Q185" s="7"/>
      <c r="R185" s="7"/>
      <c r="S185" s="7"/>
    </row>
    <row r="186" spans="2:19" ht="18.75" customHeight="1">
      <c r="B186" s="2"/>
      <c r="C186" s="7"/>
      <c r="D186" s="39"/>
      <c r="E186" s="39"/>
      <c r="F186" s="39"/>
      <c r="G186" s="39"/>
      <c r="H186" s="7"/>
      <c r="I186" s="7"/>
      <c r="J186" s="7"/>
      <c r="K186" s="7"/>
      <c r="L186" s="7"/>
      <c r="M186" s="7"/>
      <c r="N186" s="7"/>
      <c r="O186" s="7"/>
      <c r="P186" s="7"/>
      <c r="Q186" s="7"/>
      <c r="R186" s="7"/>
      <c r="S186" s="7"/>
    </row>
    <row r="187" spans="2:19" ht="18.75" customHeight="1">
      <c r="B187" s="4" t="s">
        <v>130</v>
      </c>
      <c r="C187" s="4" t="s">
        <v>467</v>
      </c>
      <c r="D187" s="7"/>
      <c r="E187" s="7"/>
      <c r="F187" s="7"/>
      <c r="G187" s="7"/>
      <c r="H187" s="7"/>
      <c r="I187" s="7"/>
      <c r="J187" s="7"/>
      <c r="K187" s="7"/>
      <c r="L187" s="7"/>
      <c r="M187" s="7"/>
      <c r="N187" s="7"/>
      <c r="O187" s="7"/>
      <c r="P187" s="7"/>
      <c r="Q187" s="7"/>
      <c r="R187" s="7"/>
      <c r="S187" s="7"/>
    </row>
    <row r="188" spans="2:19" ht="18.75" customHeight="1">
      <c r="B188" s="7"/>
      <c r="C188" s="7" t="s">
        <v>462</v>
      </c>
      <c r="D188" s="7"/>
      <c r="E188" s="7"/>
      <c r="F188" s="7"/>
      <c r="G188" s="7"/>
      <c r="H188" s="7"/>
      <c r="I188" s="7"/>
      <c r="J188" s="7"/>
      <c r="K188" s="7"/>
      <c r="L188" s="7"/>
      <c r="M188" s="7"/>
      <c r="N188" s="7"/>
      <c r="O188" s="7"/>
      <c r="P188" s="7"/>
      <c r="Q188" s="7"/>
      <c r="R188" s="7"/>
      <c r="S188" s="7"/>
    </row>
    <row r="189" spans="2:19" ht="18.75" customHeight="1">
      <c r="B189" s="7"/>
      <c r="C189" s="4" t="s">
        <v>463</v>
      </c>
      <c r="D189" s="4"/>
      <c r="E189" s="7"/>
      <c r="F189" s="7"/>
      <c r="G189" s="7"/>
      <c r="H189" s="7"/>
      <c r="I189" s="7"/>
      <c r="J189" s="7"/>
      <c r="K189" s="7"/>
      <c r="L189" s="7"/>
      <c r="M189" s="7"/>
      <c r="N189" s="7"/>
      <c r="O189" s="7"/>
      <c r="P189" s="7"/>
      <c r="Q189" s="7"/>
      <c r="R189" s="7"/>
      <c r="S189" s="7"/>
    </row>
    <row r="190" spans="2:19" ht="18.75" customHeight="1">
      <c r="B190" s="7"/>
      <c r="C190" s="7" t="s">
        <v>131</v>
      </c>
      <c r="D190" s="7"/>
      <c r="E190" s="7"/>
      <c r="F190" s="7"/>
      <c r="G190" s="7"/>
      <c r="H190" s="7"/>
      <c r="I190" s="7"/>
      <c r="J190" s="7"/>
      <c r="K190" s="7"/>
      <c r="L190" s="7"/>
      <c r="M190" s="7"/>
      <c r="N190" s="7"/>
      <c r="O190" s="7"/>
      <c r="P190" s="7"/>
      <c r="Q190" s="7"/>
      <c r="R190" s="7"/>
      <c r="S190" s="7"/>
    </row>
    <row r="191" spans="2:19" ht="18.75" customHeight="1">
      <c r="B191" s="7"/>
      <c r="C191" s="4" t="s">
        <v>468</v>
      </c>
      <c r="D191" s="7"/>
      <c r="E191" s="7"/>
      <c r="F191" s="7"/>
      <c r="G191" s="7"/>
      <c r="H191" s="7"/>
      <c r="I191" s="7"/>
      <c r="J191" s="7"/>
      <c r="K191" s="7"/>
      <c r="L191" s="7"/>
      <c r="M191" s="7"/>
      <c r="N191" s="7"/>
      <c r="O191" s="7"/>
      <c r="P191" s="7"/>
      <c r="Q191" s="7"/>
      <c r="R191" s="7"/>
      <c r="S191" s="7"/>
    </row>
    <row r="192" spans="2:19" ht="18.75" customHeight="1">
      <c r="B192" s="7"/>
      <c r="C192" s="189" t="s">
        <v>67</v>
      </c>
      <c r="D192" s="535"/>
      <c r="E192" s="535"/>
      <c r="F192" s="535"/>
      <c r="G192" s="536"/>
      <c r="H192" s="452" t="s">
        <v>464</v>
      </c>
      <c r="I192" s="453"/>
      <c r="J192" s="453"/>
      <c r="K192" s="453"/>
      <c r="L192" s="452" t="s">
        <v>469</v>
      </c>
      <c r="M192" s="453"/>
      <c r="N192" s="453"/>
      <c r="O192" s="453"/>
      <c r="P192" s="452" t="s">
        <v>465</v>
      </c>
      <c r="Q192" s="453"/>
      <c r="R192" s="453"/>
      <c r="S192" s="453"/>
    </row>
    <row r="193" spans="2:19" ht="18.75" customHeight="1">
      <c r="B193" s="7"/>
      <c r="C193" s="380" t="s">
        <v>444</v>
      </c>
      <c r="D193" s="386"/>
      <c r="E193" s="529" t="s">
        <v>440</v>
      </c>
      <c r="F193" s="533"/>
      <c r="G193" s="534"/>
      <c r="H193" s="441">
        <v>150000</v>
      </c>
      <c r="I193" s="441"/>
      <c r="J193" s="441"/>
      <c r="K193" s="441"/>
      <c r="L193" s="441">
        <v>150000</v>
      </c>
      <c r="M193" s="441"/>
      <c r="N193" s="441"/>
      <c r="O193" s="441"/>
      <c r="P193" s="441">
        <v>240000</v>
      </c>
      <c r="Q193" s="441"/>
      <c r="R193" s="441"/>
      <c r="S193" s="441"/>
    </row>
    <row r="194" spans="2:19" ht="18.75" customHeight="1">
      <c r="B194" s="7"/>
      <c r="C194" s="354"/>
      <c r="D194" s="391"/>
      <c r="E194" s="529" t="s">
        <v>441</v>
      </c>
      <c r="F194" s="530"/>
      <c r="G194" s="531"/>
      <c r="H194" s="430">
        <v>180000</v>
      </c>
      <c r="I194" s="431"/>
      <c r="J194" s="431"/>
      <c r="K194" s="432"/>
      <c r="L194" s="430">
        <v>180000</v>
      </c>
      <c r="M194" s="431"/>
      <c r="N194" s="431"/>
      <c r="O194" s="432"/>
      <c r="P194" s="430">
        <v>290000</v>
      </c>
      <c r="Q194" s="431"/>
      <c r="R194" s="431"/>
      <c r="S194" s="432"/>
    </row>
    <row r="195" spans="2:19" ht="18.75" customHeight="1">
      <c r="B195" s="7"/>
      <c r="C195" s="354"/>
      <c r="D195" s="391"/>
      <c r="E195" s="529" t="s">
        <v>442</v>
      </c>
      <c r="F195" s="530"/>
      <c r="G195" s="531"/>
      <c r="H195" s="430">
        <v>200000</v>
      </c>
      <c r="I195" s="431"/>
      <c r="J195" s="431"/>
      <c r="K195" s="432"/>
      <c r="L195" s="430">
        <v>200000</v>
      </c>
      <c r="M195" s="431"/>
      <c r="N195" s="431"/>
      <c r="O195" s="432"/>
      <c r="P195" s="430">
        <v>320000</v>
      </c>
      <c r="Q195" s="431"/>
      <c r="R195" s="431"/>
      <c r="S195" s="432"/>
    </row>
    <row r="196" spans="2:19" ht="18.75" customHeight="1">
      <c r="B196" s="7"/>
      <c r="C196" s="354"/>
      <c r="D196" s="391"/>
      <c r="E196" s="529" t="s">
        <v>443</v>
      </c>
      <c r="F196" s="530"/>
      <c r="G196" s="531"/>
      <c r="H196" s="430">
        <v>230000</v>
      </c>
      <c r="I196" s="431"/>
      <c r="J196" s="431"/>
      <c r="K196" s="432"/>
      <c r="L196" s="430">
        <v>230000</v>
      </c>
      <c r="M196" s="431"/>
      <c r="N196" s="431"/>
      <c r="O196" s="432"/>
      <c r="P196" s="430">
        <v>370000</v>
      </c>
      <c r="Q196" s="431"/>
      <c r="R196" s="431"/>
      <c r="S196" s="432"/>
    </row>
    <row r="197" spans="2:19" ht="18.75" customHeight="1">
      <c r="B197" s="7"/>
      <c r="C197" s="354"/>
      <c r="D197" s="391"/>
      <c r="E197" s="532" t="s">
        <v>445</v>
      </c>
      <c r="F197" s="530"/>
      <c r="G197" s="531"/>
      <c r="H197" s="430">
        <v>250000</v>
      </c>
      <c r="I197" s="431"/>
      <c r="J197" s="431"/>
      <c r="K197" s="432"/>
      <c r="L197" s="430">
        <v>250000</v>
      </c>
      <c r="M197" s="431"/>
      <c r="N197" s="431"/>
      <c r="O197" s="432"/>
      <c r="P197" s="430">
        <v>400000</v>
      </c>
      <c r="Q197" s="431"/>
      <c r="R197" s="431"/>
      <c r="S197" s="432"/>
    </row>
    <row r="198" spans="2:19" ht="18.75" customHeight="1">
      <c r="B198" s="7"/>
      <c r="C198" s="354"/>
      <c r="D198" s="391"/>
      <c r="E198" s="532" t="s">
        <v>446</v>
      </c>
      <c r="F198" s="533"/>
      <c r="G198" s="534"/>
      <c r="H198" s="441">
        <v>280000</v>
      </c>
      <c r="I198" s="441"/>
      <c r="J198" s="441"/>
      <c r="K198" s="441"/>
      <c r="L198" s="441">
        <v>280000</v>
      </c>
      <c r="M198" s="441"/>
      <c r="N198" s="441"/>
      <c r="O198" s="441"/>
      <c r="P198" s="441">
        <v>450000</v>
      </c>
      <c r="Q198" s="441"/>
      <c r="R198" s="441"/>
      <c r="S198" s="441"/>
    </row>
    <row r="199" spans="2:19" ht="18.75" customHeight="1">
      <c r="B199" s="7"/>
      <c r="C199" s="354"/>
      <c r="D199" s="391"/>
      <c r="E199" s="532" t="s">
        <v>447</v>
      </c>
      <c r="F199" s="533"/>
      <c r="G199" s="534"/>
      <c r="H199" s="441">
        <v>300000</v>
      </c>
      <c r="I199" s="441"/>
      <c r="J199" s="441"/>
      <c r="K199" s="441"/>
      <c r="L199" s="441">
        <v>300000</v>
      </c>
      <c r="M199" s="441"/>
      <c r="N199" s="441"/>
      <c r="O199" s="441"/>
      <c r="P199" s="441">
        <v>480000</v>
      </c>
      <c r="Q199" s="441"/>
      <c r="R199" s="441"/>
      <c r="S199" s="441"/>
    </row>
    <row r="200" spans="2:19" ht="18.75" customHeight="1">
      <c r="B200" s="7"/>
      <c r="C200" s="354"/>
      <c r="D200" s="391"/>
      <c r="E200" s="532" t="s">
        <v>448</v>
      </c>
      <c r="F200" s="533"/>
      <c r="G200" s="534"/>
      <c r="H200" s="441">
        <v>350000</v>
      </c>
      <c r="I200" s="441"/>
      <c r="J200" s="441"/>
      <c r="K200" s="441"/>
      <c r="L200" s="441">
        <v>350000</v>
      </c>
      <c r="M200" s="441"/>
      <c r="N200" s="441"/>
      <c r="O200" s="441"/>
      <c r="P200" s="441">
        <v>560000</v>
      </c>
      <c r="Q200" s="441"/>
      <c r="R200" s="441"/>
      <c r="S200" s="441"/>
    </row>
    <row r="201" spans="2:19" ht="18.75" customHeight="1">
      <c r="B201" s="7"/>
      <c r="C201" s="527"/>
      <c r="D201" s="528"/>
      <c r="E201" s="529" t="s">
        <v>449</v>
      </c>
      <c r="F201" s="533"/>
      <c r="G201" s="534"/>
      <c r="H201" s="441">
        <v>400000</v>
      </c>
      <c r="I201" s="441"/>
      <c r="J201" s="441"/>
      <c r="K201" s="441"/>
      <c r="L201" s="441">
        <v>400000</v>
      </c>
      <c r="M201" s="441"/>
      <c r="N201" s="441"/>
      <c r="O201" s="441"/>
      <c r="P201" s="441">
        <v>640000</v>
      </c>
      <c r="Q201" s="441"/>
      <c r="R201" s="441"/>
      <c r="S201" s="441"/>
    </row>
    <row r="202" spans="2:19" ht="18.75" customHeight="1">
      <c r="B202" s="7"/>
      <c r="C202" s="35" t="s">
        <v>144</v>
      </c>
      <c r="D202" s="7" t="s">
        <v>450</v>
      </c>
      <c r="E202" s="7"/>
      <c r="F202" s="7"/>
      <c r="G202" s="7"/>
      <c r="H202" s="7"/>
      <c r="I202" s="7"/>
      <c r="J202" s="7"/>
      <c r="K202" s="7"/>
      <c r="L202" s="7"/>
      <c r="M202" s="7"/>
      <c r="N202" s="7"/>
      <c r="O202" s="7"/>
      <c r="P202" s="7"/>
      <c r="Q202" s="7"/>
      <c r="R202" s="7"/>
      <c r="S202" s="7"/>
    </row>
    <row r="203" spans="2:19" ht="18.75" customHeight="1">
      <c r="B203" s="7"/>
      <c r="C203" s="35" t="s">
        <v>144</v>
      </c>
      <c r="D203" s="7" t="s">
        <v>466</v>
      </c>
      <c r="E203" s="7"/>
      <c r="F203" s="7"/>
      <c r="G203" s="7"/>
      <c r="H203" s="7"/>
      <c r="I203" s="7"/>
      <c r="J203" s="7"/>
      <c r="K203" s="7"/>
      <c r="L203" s="7"/>
      <c r="M203" s="7"/>
      <c r="N203" s="7"/>
      <c r="O203" s="7"/>
      <c r="P203" s="7"/>
      <c r="Q203" s="7"/>
      <c r="R203" s="7"/>
      <c r="S203" s="7"/>
    </row>
    <row r="204" spans="2:19" ht="18.75" customHeight="1">
      <c r="B204" s="7"/>
      <c r="C204" s="35" t="s">
        <v>144</v>
      </c>
      <c r="D204" s="7" t="s">
        <v>132</v>
      </c>
      <c r="E204" s="7"/>
      <c r="F204" s="7"/>
      <c r="G204" s="7"/>
      <c r="H204" s="7"/>
      <c r="I204" s="7"/>
      <c r="J204" s="7"/>
      <c r="K204" s="7"/>
      <c r="L204" s="7"/>
      <c r="M204" s="7"/>
      <c r="N204" s="7"/>
      <c r="O204" s="7"/>
      <c r="P204" s="7"/>
      <c r="Q204" s="7"/>
      <c r="R204" s="7"/>
      <c r="S204" s="7"/>
    </row>
    <row r="205" spans="2:19" ht="18.75" customHeight="1">
      <c r="B205" s="7"/>
      <c r="C205" s="35"/>
      <c r="D205" s="7"/>
      <c r="E205" s="7"/>
      <c r="F205" s="7"/>
      <c r="G205" s="7"/>
      <c r="H205" s="7"/>
      <c r="I205" s="7"/>
      <c r="J205" s="7"/>
      <c r="K205" s="7"/>
      <c r="L205" s="7"/>
      <c r="M205" s="7"/>
      <c r="N205" s="7"/>
      <c r="O205" s="7"/>
      <c r="P205" s="7"/>
      <c r="Q205" s="7"/>
      <c r="R205" s="7"/>
      <c r="S205" s="7"/>
    </row>
    <row r="206" spans="2:19" ht="18.75" customHeight="1">
      <c r="B206" s="7"/>
      <c r="C206" s="7"/>
      <c r="D206" s="7"/>
      <c r="E206" s="7"/>
      <c r="F206" s="7"/>
      <c r="G206" s="7"/>
      <c r="H206" s="7"/>
      <c r="I206" s="7"/>
      <c r="J206" s="7"/>
      <c r="K206" s="7"/>
      <c r="L206" s="7"/>
      <c r="M206" s="7"/>
      <c r="N206" s="7"/>
      <c r="O206" s="7"/>
      <c r="P206" s="7"/>
      <c r="Q206" s="7"/>
      <c r="R206" s="7"/>
      <c r="S206" s="7"/>
    </row>
    <row r="207" spans="23:33" ht="21" customHeight="1">
      <c r="W207" s="74" t="s">
        <v>214</v>
      </c>
      <c r="X207" s="80">
        <v>2</v>
      </c>
      <c r="AC207" s="65">
        <v>0.6</v>
      </c>
      <c r="AD207" s="66">
        <v>0.7</v>
      </c>
      <c r="AE207" s="66">
        <v>0.72</v>
      </c>
      <c r="AF207" s="66">
        <v>0.76</v>
      </c>
      <c r="AG207" s="67">
        <v>0.9</v>
      </c>
    </row>
    <row r="208" spans="23:33" ht="21" customHeight="1">
      <c r="W208" s="75" t="s">
        <v>212</v>
      </c>
      <c r="X208" s="81">
        <v>1.5</v>
      </c>
      <c r="AC208" s="77">
        <v>1</v>
      </c>
      <c r="AD208" s="72">
        <v>1</v>
      </c>
      <c r="AE208" s="72">
        <v>2</v>
      </c>
      <c r="AF208" s="72">
        <v>2</v>
      </c>
      <c r="AG208" s="73">
        <v>3</v>
      </c>
    </row>
    <row r="209" spans="23:32" ht="21" customHeight="1">
      <c r="W209" s="76" t="s">
        <v>213</v>
      </c>
      <c r="X209" s="82">
        <v>1.2</v>
      </c>
      <c r="AA209" s="65">
        <v>0</v>
      </c>
      <c r="AB209" s="67">
        <v>1</v>
      </c>
      <c r="AC209" s="69"/>
      <c r="AD209" s="1">
        <v>1</v>
      </c>
      <c r="AE209" s="1">
        <v>2</v>
      </c>
      <c r="AF209" s="1">
        <v>3</v>
      </c>
    </row>
    <row r="210" spans="23:32" ht="21" customHeight="1">
      <c r="W210" s="78"/>
      <c r="X210" s="78"/>
      <c r="AA210" s="68">
        <v>0.411</v>
      </c>
      <c r="AB210" s="70">
        <v>2</v>
      </c>
      <c r="AC210" s="69">
        <v>1</v>
      </c>
      <c r="AD210" s="65">
        <v>2</v>
      </c>
      <c r="AE210" s="66">
        <v>2.2</v>
      </c>
      <c r="AF210" s="67">
        <v>2.4</v>
      </c>
    </row>
    <row r="211" spans="27:32" ht="21" customHeight="1">
      <c r="AA211" s="68">
        <v>0.511</v>
      </c>
      <c r="AB211" s="70">
        <v>3</v>
      </c>
      <c r="AC211" s="69">
        <v>2</v>
      </c>
      <c r="AD211" s="68">
        <v>1.5</v>
      </c>
      <c r="AE211" s="69">
        <v>1.7</v>
      </c>
      <c r="AF211" s="70">
        <v>1.8</v>
      </c>
    </row>
    <row r="212" spans="27:32" ht="21" customHeight="1">
      <c r="AA212" s="68">
        <v>0.611</v>
      </c>
      <c r="AB212" s="70">
        <v>4</v>
      </c>
      <c r="AC212" s="69">
        <v>3</v>
      </c>
      <c r="AD212" s="68">
        <v>1.2</v>
      </c>
      <c r="AE212" s="69">
        <v>1.3</v>
      </c>
      <c r="AF212" s="70">
        <v>1.4</v>
      </c>
    </row>
    <row r="213" spans="27:32" ht="21" customHeight="1">
      <c r="AA213" s="68">
        <v>0.721</v>
      </c>
      <c r="AB213" s="70">
        <v>5</v>
      </c>
      <c r="AC213" s="69">
        <v>4</v>
      </c>
      <c r="AD213" s="68">
        <v>1</v>
      </c>
      <c r="AE213" s="69">
        <v>1.1</v>
      </c>
      <c r="AF213" s="70">
        <v>1.2</v>
      </c>
    </row>
    <row r="214" spans="27:32" ht="21" customHeight="1">
      <c r="AA214" s="77">
        <v>0.9</v>
      </c>
      <c r="AB214" s="73">
        <v>5</v>
      </c>
      <c r="AC214" s="69">
        <v>5</v>
      </c>
      <c r="AD214" s="71" t="s">
        <v>170</v>
      </c>
      <c r="AE214" s="72">
        <v>1</v>
      </c>
      <c r="AF214" s="73">
        <v>1</v>
      </c>
    </row>
    <row r="215" ht="21" customHeight="1">
      <c r="AC215" s="69"/>
    </row>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sheetData>
  <sheetProtection sheet="1" objects="1" scenarios="1"/>
  <mergeCells count="496">
    <mergeCell ref="H200:K200"/>
    <mergeCell ref="L200:O200"/>
    <mergeCell ref="P200:S200"/>
    <mergeCell ref="E201:G201"/>
    <mergeCell ref="H201:K201"/>
    <mergeCell ref="L201:O201"/>
    <mergeCell ref="P201:S201"/>
    <mergeCell ref="H198:K198"/>
    <mergeCell ref="L198:O198"/>
    <mergeCell ref="P198:S198"/>
    <mergeCell ref="E199:G199"/>
    <mergeCell ref="H199:K199"/>
    <mergeCell ref="L199:O199"/>
    <mergeCell ref="P199:S199"/>
    <mergeCell ref="C192:G192"/>
    <mergeCell ref="C193:D201"/>
    <mergeCell ref="E193:G193"/>
    <mergeCell ref="E194:G194"/>
    <mergeCell ref="E195:G195"/>
    <mergeCell ref="E196:G196"/>
    <mergeCell ref="E197:G197"/>
    <mergeCell ref="E198:G198"/>
    <mergeCell ref="E200:G200"/>
    <mergeCell ref="P107:R107"/>
    <mergeCell ref="K106:L106"/>
    <mergeCell ref="H106:J106"/>
    <mergeCell ref="U165:U166"/>
    <mergeCell ref="U167:U168"/>
    <mergeCell ref="U157:U158"/>
    <mergeCell ref="U159:U160"/>
    <mergeCell ref="U161:U162"/>
    <mergeCell ref="U163:U164"/>
    <mergeCell ref="P108:R108"/>
    <mergeCell ref="K179:M179"/>
    <mergeCell ref="N179:Q179"/>
    <mergeCell ref="G179:J179"/>
    <mergeCell ref="P147:R147"/>
    <mergeCell ref="K176:M176"/>
    <mergeCell ref="N176:Q176"/>
    <mergeCell ref="K177:M177"/>
    <mergeCell ref="N177:Q177"/>
    <mergeCell ref="K178:M178"/>
    <mergeCell ref="N178:Q178"/>
    <mergeCell ref="P109:R109"/>
    <mergeCell ref="K105:L105"/>
    <mergeCell ref="R19:S19"/>
    <mergeCell ref="R20:S20"/>
    <mergeCell ref="R21:S21"/>
    <mergeCell ref="R22:S22"/>
    <mergeCell ref="J20:Q20"/>
    <mergeCell ref="M35:Q35"/>
    <mergeCell ref="M36:Q36"/>
    <mergeCell ref="P22:Q22"/>
    <mergeCell ref="L159:L160"/>
    <mergeCell ref="K102:L102"/>
    <mergeCell ref="K143:L143"/>
    <mergeCell ref="K130:L130"/>
    <mergeCell ref="M112:N112"/>
    <mergeCell ref="K107:L107"/>
    <mergeCell ref="M107:O107"/>
    <mergeCell ref="K118:L118"/>
    <mergeCell ref="M118:O118"/>
    <mergeCell ref="G17:H17"/>
    <mergeCell ref="C184:F184"/>
    <mergeCell ref="C185:F185"/>
    <mergeCell ref="G182:J182"/>
    <mergeCell ref="G183:J183"/>
    <mergeCell ref="G184:J184"/>
    <mergeCell ref="G185:J185"/>
    <mergeCell ref="C182:F182"/>
    <mergeCell ref="C183:F183"/>
    <mergeCell ref="R17:S17"/>
    <mergeCell ref="R18:S18"/>
    <mergeCell ref="J18:M18"/>
    <mergeCell ref="N18:Q18"/>
    <mergeCell ref="J17:K17"/>
    <mergeCell ref="M17:N17"/>
    <mergeCell ref="O17:P17"/>
    <mergeCell ref="D8:E8"/>
    <mergeCell ref="D9:E9"/>
    <mergeCell ref="M15:Q15"/>
    <mergeCell ref="K15:L15"/>
    <mergeCell ref="D11:E11"/>
    <mergeCell ref="D12:E12"/>
    <mergeCell ref="F11:I11"/>
    <mergeCell ref="F12:I12"/>
    <mergeCell ref="D10:E10"/>
    <mergeCell ref="F9:G9"/>
    <mergeCell ref="J23:Q23"/>
    <mergeCell ref="D26:R26"/>
    <mergeCell ref="D27:R27"/>
    <mergeCell ref="R24:S24"/>
    <mergeCell ref="R23:S23"/>
    <mergeCell ref="R65:S65"/>
    <mergeCell ref="C61:I61"/>
    <mergeCell ref="M7:Q7"/>
    <mergeCell ref="D4:E4"/>
    <mergeCell ref="D5:E5"/>
    <mergeCell ref="D6:E6"/>
    <mergeCell ref="F4:Q4"/>
    <mergeCell ref="F5:Q5"/>
    <mergeCell ref="F6:H6"/>
    <mergeCell ref="I6:Q6"/>
    <mergeCell ref="D7:E7"/>
    <mergeCell ref="F7:J7"/>
    <mergeCell ref="H159:H160"/>
    <mergeCell ref="G176:J176"/>
    <mergeCell ref="K7:L7"/>
    <mergeCell ref="J8:J14"/>
    <mergeCell ref="F13:I13"/>
    <mergeCell ref="F14:I14"/>
    <mergeCell ref="F10:G10"/>
    <mergeCell ref="J65:Q65"/>
    <mergeCell ref="J68:M69"/>
    <mergeCell ref="J21:Q21"/>
    <mergeCell ref="C161:E162"/>
    <mergeCell ref="C169:E169"/>
    <mergeCell ref="C179:F179"/>
    <mergeCell ref="Q112:R112"/>
    <mergeCell ref="K174:M174"/>
    <mergeCell ref="N174:Q174"/>
    <mergeCell ref="K175:M175"/>
    <mergeCell ref="N175:Q175"/>
    <mergeCell ref="Q153:Q154"/>
    <mergeCell ref="H157:H158"/>
    <mergeCell ref="C178:F178"/>
    <mergeCell ref="G177:J177"/>
    <mergeCell ref="G178:J178"/>
    <mergeCell ref="C176:F176"/>
    <mergeCell ref="C177:F177"/>
    <mergeCell ref="F169:Q169"/>
    <mergeCell ref="C137:G137"/>
    <mergeCell ref="C159:E160"/>
    <mergeCell ref="C132:G132"/>
    <mergeCell ref="H161:H162"/>
    <mergeCell ref="F152:K155"/>
    <mergeCell ref="C138:G138"/>
    <mergeCell ref="G145:I145"/>
    <mergeCell ref="J156:K156"/>
    <mergeCell ref="C133:G133"/>
    <mergeCell ref="H133:J133"/>
    <mergeCell ref="R66:S67"/>
    <mergeCell ref="C175:F175"/>
    <mergeCell ref="G174:J174"/>
    <mergeCell ref="G173:Q173"/>
    <mergeCell ref="G175:J175"/>
    <mergeCell ref="C173:F174"/>
    <mergeCell ref="L161:L162"/>
    <mergeCell ref="C131:G131"/>
    <mergeCell ref="C130:G130"/>
    <mergeCell ref="R68:S69"/>
    <mergeCell ref="J62:Q62"/>
    <mergeCell ref="D36:I36"/>
    <mergeCell ref="D37:I37"/>
    <mergeCell ref="D38:I38"/>
    <mergeCell ref="M37:Q37"/>
    <mergeCell ref="M38:Q38"/>
    <mergeCell ref="L35:L36"/>
    <mergeCell ref="L37:L38"/>
    <mergeCell ref="R63:S64"/>
    <mergeCell ref="D62:I62"/>
    <mergeCell ref="C35:C38"/>
    <mergeCell ref="S53:S54"/>
    <mergeCell ref="R62:S62"/>
    <mergeCell ref="J61:Q61"/>
    <mergeCell ref="N63:N64"/>
    <mergeCell ref="J63:M64"/>
    <mergeCell ref="P63:Q64"/>
    <mergeCell ref="D53:D54"/>
    <mergeCell ref="R78:S78"/>
    <mergeCell ref="R79:S79"/>
    <mergeCell ref="N66:N67"/>
    <mergeCell ref="D73:I73"/>
    <mergeCell ref="J31:L31"/>
    <mergeCell ref="R61:S61"/>
    <mergeCell ref="K35:K36"/>
    <mergeCell ref="J35:J36"/>
    <mergeCell ref="N33:O33"/>
    <mergeCell ref="Q33:R33"/>
    <mergeCell ref="H118:J118"/>
    <mergeCell ref="H102:J102"/>
    <mergeCell ref="R72:S72"/>
    <mergeCell ref="J72:Q72"/>
    <mergeCell ref="J70:M71"/>
    <mergeCell ref="C62:C65"/>
    <mergeCell ref="C90:I90"/>
    <mergeCell ref="R74:S75"/>
    <mergeCell ref="R76:S77"/>
    <mergeCell ref="R83:S84"/>
    <mergeCell ref="C122:G122"/>
    <mergeCell ref="C107:G107"/>
    <mergeCell ref="D65:I65"/>
    <mergeCell ref="F163:G164"/>
    <mergeCell ref="F165:G166"/>
    <mergeCell ref="F167:G168"/>
    <mergeCell ref="C163:E164"/>
    <mergeCell ref="C165:E166"/>
    <mergeCell ref="C167:E168"/>
    <mergeCell ref="C66:C75"/>
    <mergeCell ref="C120:G120"/>
    <mergeCell ref="C119:G119"/>
    <mergeCell ref="C102:G102"/>
    <mergeCell ref="F161:G162"/>
    <mergeCell ref="F157:G158"/>
    <mergeCell ref="C118:G118"/>
    <mergeCell ref="F159:G160"/>
    <mergeCell ref="C123:G123"/>
    <mergeCell ref="C124:G124"/>
    <mergeCell ref="C157:E158"/>
    <mergeCell ref="D110:H110"/>
    <mergeCell ref="H107:J107"/>
    <mergeCell ref="D87:F88"/>
    <mergeCell ref="C98:G98"/>
    <mergeCell ref="C100:G100"/>
    <mergeCell ref="C101:G101"/>
    <mergeCell ref="K117:L117"/>
    <mergeCell ref="H116:J116"/>
    <mergeCell ref="C121:G121"/>
    <mergeCell ref="C103:G103"/>
    <mergeCell ref="K115:L115"/>
    <mergeCell ref="C116:G116"/>
    <mergeCell ref="C104:G104"/>
    <mergeCell ref="C105:G105"/>
    <mergeCell ref="C106:G106"/>
    <mergeCell ref="C109:C110"/>
    <mergeCell ref="K116:L116"/>
    <mergeCell ref="H115:J115"/>
    <mergeCell ref="C156:E156"/>
    <mergeCell ref="K145:L145"/>
    <mergeCell ref="C152:E155"/>
    <mergeCell ref="H141:I141"/>
    <mergeCell ref="C115:G115"/>
    <mergeCell ref="C117:G117"/>
    <mergeCell ref="H132:J132"/>
    <mergeCell ref="K132:L132"/>
    <mergeCell ref="G85:I86"/>
    <mergeCell ref="J78:Q78"/>
    <mergeCell ref="N83:N84"/>
    <mergeCell ref="J83:M84"/>
    <mergeCell ref="D82:I82"/>
    <mergeCell ref="P85:Q86"/>
    <mergeCell ref="D72:I72"/>
    <mergeCell ref="D78:I78"/>
    <mergeCell ref="J74:M75"/>
    <mergeCell ref="D74:I75"/>
    <mergeCell ref="P76:Q77"/>
    <mergeCell ref="J76:M77"/>
    <mergeCell ref="D76:I77"/>
    <mergeCell ref="D79:I79"/>
    <mergeCell ref="N19:Q19"/>
    <mergeCell ref="J19:M19"/>
    <mergeCell ref="D63:I64"/>
    <mergeCell ref="D66:I67"/>
    <mergeCell ref="D68:I69"/>
    <mergeCell ref="D70:I71"/>
    <mergeCell ref="J66:M67"/>
    <mergeCell ref="J73:Q73"/>
    <mergeCell ref="Q66:Q67"/>
    <mergeCell ref="R82:S82"/>
    <mergeCell ref="R85:S86"/>
    <mergeCell ref="J79:Q79"/>
    <mergeCell ref="R81:S81"/>
    <mergeCell ref="J80:Q80"/>
    <mergeCell ref="J82:Q82"/>
    <mergeCell ref="P83:Q84"/>
    <mergeCell ref="J85:M86"/>
    <mergeCell ref="N85:N86"/>
    <mergeCell ref="J81:Q81"/>
    <mergeCell ref="N68:N69"/>
    <mergeCell ref="P68:Q69"/>
    <mergeCell ref="N70:N71"/>
    <mergeCell ref="N74:N75"/>
    <mergeCell ref="P74:Q75"/>
    <mergeCell ref="R80:S80"/>
    <mergeCell ref="N76:N77"/>
    <mergeCell ref="R73:S73"/>
    <mergeCell ref="R70:S71"/>
    <mergeCell ref="P70:Q71"/>
    <mergeCell ref="H98:J98"/>
    <mergeCell ref="H100:J100"/>
    <mergeCell ref="M100:O100"/>
    <mergeCell ref="K100:L100"/>
    <mergeCell ref="K98:L98"/>
    <mergeCell ref="M99:O99"/>
    <mergeCell ref="K101:L101"/>
    <mergeCell ref="C91:I91"/>
    <mergeCell ref="C93:I93"/>
    <mergeCell ref="H101:J101"/>
    <mergeCell ref="K99:L99"/>
    <mergeCell ref="D83:I84"/>
    <mergeCell ref="C76:C84"/>
    <mergeCell ref="C85:C88"/>
    <mergeCell ref="D80:I80"/>
    <mergeCell ref="D81:I81"/>
    <mergeCell ref="C99:G99"/>
    <mergeCell ref="D85:F86"/>
    <mergeCell ref="G87:I88"/>
    <mergeCell ref="R91:S91"/>
    <mergeCell ref="R93:S93"/>
    <mergeCell ref="P98:R98"/>
    <mergeCell ref="J92:Q92"/>
    <mergeCell ref="R92:S92"/>
    <mergeCell ref="H99:J99"/>
    <mergeCell ref="M98:O98"/>
    <mergeCell ref="J87:M88"/>
    <mergeCell ref="J93:Q93"/>
    <mergeCell ref="P87:Q88"/>
    <mergeCell ref="P100:R100"/>
    <mergeCell ref="J90:Q90"/>
    <mergeCell ref="P99:R99"/>
    <mergeCell ref="J91:Q91"/>
    <mergeCell ref="N87:N88"/>
    <mergeCell ref="R87:S88"/>
    <mergeCell ref="R90:S90"/>
    <mergeCell ref="P101:R101"/>
    <mergeCell ref="P106:R106"/>
    <mergeCell ref="M104:O104"/>
    <mergeCell ref="P104:R104"/>
    <mergeCell ref="P105:R105"/>
    <mergeCell ref="M105:O105"/>
    <mergeCell ref="M102:O102"/>
    <mergeCell ref="P102:R102"/>
    <mergeCell ref="M103:O103"/>
    <mergeCell ref="M101:O101"/>
    <mergeCell ref="P116:R116"/>
    <mergeCell ref="P117:R117"/>
    <mergeCell ref="K103:L103"/>
    <mergeCell ref="P103:R103"/>
    <mergeCell ref="K104:L104"/>
    <mergeCell ref="M115:O115"/>
    <mergeCell ref="P115:R115"/>
    <mergeCell ref="I110:K110"/>
    <mergeCell ref="M106:O106"/>
    <mergeCell ref="H105:J105"/>
    <mergeCell ref="I109:K109"/>
    <mergeCell ref="K112:L112"/>
    <mergeCell ref="M117:O117"/>
    <mergeCell ref="D109:H109"/>
    <mergeCell ref="P120:R120"/>
    <mergeCell ref="H119:J119"/>
    <mergeCell ref="K119:L119"/>
    <mergeCell ref="M119:O119"/>
    <mergeCell ref="P119:R119"/>
    <mergeCell ref="K120:L120"/>
    <mergeCell ref="M121:O121"/>
    <mergeCell ref="P121:R121"/>
    <mergeCell ref="H122:J122"/>
    <mergeCell ref="M124:O124"/>
    <mergeCell ref="H131:J131"/>
    <mergeCell ref="P125:R125"/>
    <mergeCell ref="H121:J121"/>
    <mergeCell ref="K121:L121"/>
    <mergeCell ref="P196:S196"/>
    <mergeCell ref="P197:S197"/>
    <mergeCell ref="R152:S155"/>
    <mergeCell ref="L152:Q152"/>
    <mergeCell ref="K133:L133"/>
    <mergeCell ref="J157:K158"/>
    <mergeCell ref="N145:P145"/>
    <mergeCell ref="J161:K162"/>
    <mergeCell ref="L165:L166"/>
    <mergeCell ref="L157:L158"/>
    <mergeCell ref="N156:O156"/>
    <mergeCell ref="N157:O158"/>
    <mergeCell ref="P127:R127"/>
    <mergeCell ref="P122:R122"/>
    <mergeCell ref="P192:S192"/>
    <mergeCell ref="P193:S193"/>
    <mergeCell ref="P143:R143"/>
    <mergeCell ref="P133:R133"/>
    <mergeCell ref="P134:R134"/>
    <mergeCell ref="P137:R137"/>
    <mergeCell ref="Q141:R141"/>
    <mergeCell ref="N153:P153"/>
    <mergeCell ref="Q145:R145"/>
    <mergeCell ref="H197:K197"/>
    <mergeCell ref="H196:K196"/>
    <mergeCell ref="H192:K192"/>
    <mergeCell ref="L192:O192"/>
    <mergeCell ref="H193:K193"/>
    <mergeCell ref="L193:O193"/>
    <mergeCell ref="H194:K194"/>
    <mergeCell ref="H195:K195"/>
    <mergeCell ref="L196:O196"/>
    <mergeCell ref="L197:O197"/>
    <mergeCell ref="P194:S194"/>
    <mergeCell ref="P195:S195"/>
    <mergeCell ref="L194:O194"/>
    <mergeCell ref="L195:O195"/>
    <mergeCell ref="L167:L168"/>
    <mergeCell ref="H163:H164"/>
    <mergeCell ref="H165:H166"/>
    <mergeCell ref="H167:H168"/>
    <mergeCell ref="J165:K166"/>
    <mergeCell ref="J167:K168"/>
    <mergeCell ref="G18:H18"/>
    <mergeCell ref="G19:H19"/>
    <mergeCell ref="G20:H20"/>
    <mergeCell ref="F156:I156"/>
    <mergeCell ref="N154:O154"/>
    <mergeCell ref="L153:M153"/>
    <mergeCell ref="M122:O122"/>
    <mergeCell ref="G21:H21"/>
    <mergeCell ref="G22:H22"/>
    <mergeCell ref="H120:J120"/>
    <mergeCell ref="J163:K164"/>
    <mergeCell ref="H138:J138"/>
    <mergeCell ref="K138:L138"/>
    <mergeCell ref="L163:L164"/>
    <mergeCell ref="K131:L131"/>
    <mergeCell ref="H103:J103"/>
    <mergeCell ref="H104:J104"/>
    <mergeCell ref="K137:L137"/>
    <mergeCell ref="K127:L127"/>
    <mergeCell ref="J159:K160"/>
    <mergeCell ref="M161:M162"/>
    <mergeCell ref="N165:O166"/>
    <mergeCell ref="N159:O160"/>
    <mergeCell ref="N161:O162"/>
    <mergeCell ref="M165:M166"/>
    <mergeCell ref="M167:M168"/>
    <mergeCell ref="N163:O164"/>
    <mergeCell ref="N167:O168"/>
    <mergeCell ref="M163:M164"/>
    <mergeCell ref="P157:P158"/>
    <mergeCell ref="Q157:Q158"/>
    <mergeCell ref="P159:P160"/>
    <mergeCell ref="Q159:Q160"/>
    <mergeCell ref="M157:M158"/>
    <mergeCell ref="M159:M160"/>
    <mergeCell ref="P167:P168"/>
    <mergeCell ref="Q167:Q168"/>
    <mergeCell ref="P161:P162"/>
    <mergeCell ref="Q161:Q162"/>
    <mergeCell ref="P163:P164"/>
    <mergeCell ref="Q163:Q164"/>
    <mergeCell ref="M131:O131"/>
    <mergeCell ref="R169:S169"/>
    <mergeCell ref="N155:O155"/>
    <mergeCell ref="R157:S158"/>
    <mergeCell ref="R159:S160"/>
    <mergeCell ref="R161:S162"/>
    <mergeCell ref="R163:S164"/>
    <mergeCell ref="R165:S166"/>
    <mergeCell ref="R167:S168"/>
    <mergeCell ref="Q165:Q166"/>
    <mergeCell ref="M137:O137"/>
    <mergeCell ref="R156:S156"/>
    <mergeCell ref="P165:P166"/>
    <mergeCell ref="D35:I35"/>
    <mergeCell ref="P124:R124"/>
    <mergeCell ref="P123:R123"/>
    <mergeCell ref="K122:L122"/>
    <mergeCell ref="R89:S89"/>
    <mergeCell ref="C89:I89"/>
    <mergeCell ref="D52:R52"/>
    <mergeCell ref="M143:O143"/>
    <mergeCell ref="H123:J123"/>
    <mergeCell ref="K123:L123"/>
    <mergeCell ref="M123:O123"/>
    <mergeCell ref="H124:J124"/>
    <mergeCell ref="K124:L124"/>
    <mergeCell ref="M133:O133"/>
    <mergeCell ref="H137:J137"/>
    <mergeCell ref="M130:O130"/>
    <mergeCell ref="M127:O127"/>
    <mergeCell ref="P130:R130"/>
    <mergeCell ref="C53:C55"/>
    <mergeCell ref="C56:C57"/>
    <mergeCell ref="J89:Q89"/>
    <mergeCell ref="C92:I92"/>
    <mergeCell ref="H130:J130"/>
    <mergeCell ref="M120:O120"/>
    <mergeCell ref="M116:O116"/>
    <mergeCell ref="P118:R118"/>
    <mergeCell ref="H117:J117"/>
    <mergeCell ref="M138:O138"/>
    <mergeCell ref="P138:R138"/>
    <mergeCell ref="P139:R139"/>
    <mergeCell ref="P132:R132"/>
    <mergeCell ref="P131:R131"/>
    <mergeCell ref="E2:Q2"/>
    <mergeCell ref="K48:N48"/>
    <mergeCell ref="J30:L30"/>
    <mergeCell ref="D13:E14"/>
    <mergeCell ref="J22:O22"/>
    <mergeCell ref="M141:O141"/>
    <mergeCell ref="M140:O140"/>
    <mergeCell ref="N42:O42"/>
    <mergeCell ref="P42:Q42"/>
    <mergeCell ref="P135:R135"/>
    <mergeCell ref="N50:O50"/>
    <mergeCell ref="Q50:R50"/>
    <mergeCell ref="N43:O43"/>
    <mergeCell ref="P43:Q43"/>
    <mergeCell ref="M132:O132"/>
  </mergeCells>
  <conditionalFormatting sqref="K48:N48">
    <cfRule type="expression" priority="1" dxfId="10" stopIfTrue="1">
      <formula>OR($G$46="",$Q$46="")</formula>
    </cfRule>
  </conditionalFormatting>
  <conditionalFormatting sqref="R35">
    <cfRule type="expression" priority="2" dxfId="1" stopIfTrue="1">
      <formula>ISTEXT($R$36)</formula>
    </cfRule>
  </conditionalFormatting>
  <conditionalFormatting sqref="R36">
    <cfRule type="expression" priority="3" dxfId="1" stopIfTrue="1">
      <formula>ISTEXT($R$35)</formula>
    </cfRule>
  </conditionalFormatting>
  <conditionalFormatting sqref="R37">
    <cfRule type="expression" priority="4" dxfId="1" stopIfTrue="1">
      <formula>ISTEXT($R$38)</formula>
    </cfRule>
  </conditionalFormatting>
  <conditionalFormatting sqref="R38">
    <cfRule type="expression" priority="5" dxfId="1" stopIfTrue="1">
      <formula>ISTEXT($R$37)</formula>
    </cfRule>
  </conditionalFormatting>
  <conditionalFormatting sqref="S53:S54">
    <cfRule type="expression" priority="6" dxfId="1" stopIfTrue="1">
      <formula>COUNTA($S$55:$S$58)&gt;0</formula>
    </cfRule>
  </conditionalFormatting>
  <conditionalFormatting sqref="S55">
    <cfRule type="expression" priority="7" dxfId="1" stopIfTrue="1">
      <formula>COUNTA($S$53,$S$56:$S$58)&gt;0</formula>
    </cfRule>
  </conditionalFormatting>
  <conditionalFormatting sqref="S56">
    <cfRule type="expression" priority="8" dxfId="1" stopIfTrue="1">
      <formula>COUNTA($S$53:$S$55,$S$57:$S$58)&gt;0</formula>
    </cfRule>
  </conditionalFormatting>
  <conditionalFormatting sqref="S57">
    <cfRule type="expression" priority="9" dxfId="1" stopIfTrue="1">
      <formula>COUNTA($S$53:$S$56,$S$58)&gt;0</formula>
    </cfRule>
  </conditionalFormatting>
  <conditionalFormatting sqref="S58">
    <cfRule type="expression" priority="10" dxfId="1" stopIfTrue="1">
      <formula>COUNTA($S$53:$S$57)&gt;0</formula>
    </cfRule>
  </conditionalFormatting>
  <conditionalFormatting sqref="R62:S89">
    <cfRule type="expression" priority="11" dxfId="18" stopIfTrue="1">
      <formula>ISNUMBER($R$90)</formula>
    </cfRule>
  </conditionalFormatting>
  <dataValidations count="11">
    <dataValidation type="list" allowBlank="1" showErrorMessage="1" sqref="K48:N48">
      <formula1>IF(OR($G$46="",$Q$46=""),$W$207:$W$209)</formula1>
    </dataValidation>
    <dataValidation type="list" allowBlank="1" showInputMessage="1" showErrorMessage="1" sqref="J37:J38 J35 Q8:Q13">
      <formula1>"○"</formula1>
    </dataValidation>
    <dataValidation type="list" allowBlank="1" showInputMessage="1" showErrorMessage="1" sqref="R35">
      <formula1>IF($R$36="",$U$59,$U$46)</formula1>
    </dataValidation>
    <dataValidation type="list" allowBlank="1" showInputMessage="1" showErrorMessage="1" sqref="R36">
      <formula1>IF($R$35="",$U$59,$U$46)</formula1>
    </dataValidation>
    <dataValidation type="list" allowBlank="1" showInputMessage="1" showErrorMessage="1" sqref="R37">
      <formula1>IF($R$38="",$U$59,$U$46)</formula1>
    </dataValidation>
    <dataValidation type="list" allowBlank="1" showInputMessage="1" showErrorMessage="1" sqref="R38">
      <formula1>IF($R$37="",$U$59,$U$46)</formula1>
    </dataValidation>
    <dataValidation type="list" allowBlank="1" showInputMessage="1" showErrorMessage="1" sqref="S53:S54">
      <formula1>IF(COUNTA($S$55:$S$58)=0,$U$59,$U$51)</formula1>
    </dataValidation>
    <dataValidation type="list" allowBlank="1" showInputMessage="1" showErrorMessage="1" sqref="S55">
      <formula1>IF(COUNTA($S$53,$S$56:$S$58)=0,$U$59,$U$51)</formula1>
    </dataValidation>
    <dataValidation type="list" allowBlank="1" showInputMessage="1" showErrorMessage="1" sqref="S56">
      <formula1>IF(COUNTA($S$53:$S$55,$S$57:$S$58)=0,$U$59,$U$51)</formula1>
    </dataValidation>
    <dataValidation type="list" allowBlank="1" showInputMessage="1" showErrorMessage="1" sqref="S57">
      <formula1>IF(COUNTA($S$53:$S$56,$S$58)=0,$U$59,$U$51)</formula1>
    </dataValidation>
    <dataValidation type="list" allowBlank="1" showInputMessage="1" showErrorMessage="1" sqref="S58">
      <formula1>IF(COUNTA($S$53:$S$57)=0,$U$59,$U$51)</formula1>
    </dataValidation>
  </dataValidations>
  <printOptions/>
  <pageMargins left="0.7086614173228347" right="0" top="0.7874015748031497" bottom="0" header="0" footer="0.3937007874015748"/>
  <pageSetup horizontalDpi="600" verticalDpi="600" orientation="portrait" paperSize="9" scale="78" r:id="rId1"/>
  <headerFooter alignWithMargins="0">
    <oddFooter>&amp;C- &amp;P -</oddFooter>
  </headerFooter>
  <rowBreaks count="3" manualBreakCount="3">
    <brk id="28" max="255" man="1"/>
    <brk id="94" max="255" man="1"/>
    <brk id="14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Tojyo_Setubijimusyo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S.Tojyo</dc:creator>
  <cp:keywords/>
  <dc:description/>
  <cp:lastModifiedBy>hosokawa</cp:lastModifiedBy>
  <cp:lastPrinted>2011-02-01T02:28:08Z</cp:lastPrinted>
  <dcterms:created xsi:type="dcterms:W3CDTF">2010-09-13T06:40:04Z</dcterms:created>
  <dcterms:modified xsi:type="dcterms:W3CDTF">2011-05-10T06:34:26Z</dcterms:modified>
  <cp:category/>
  <cp:version/>
  <cp:contentType/>
  <cp:contentStatus/>
</cp:coreProperties>
</file>