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5480" windowHeight="11640" activeTab="0"/>
  </bookViews>
  <sheets>
    <sheet name="目次" sheetId="1" r:id="rId1"/>
    <sheet name="積算" sheetId="2" state="hidden" r:id="rId2"/>
    <sheet name="業務細分率" sheetId="3" state="hidden" r:id="rId3"/>
    <sheet name="Data" sheetId="4" state="hidden" r:id="rId4"/>
  </sheets>
  <definedNames>
    <definedName name="Data_1">'Data'!$P$7:$U$78</definedName>
    <definedName name="Data_2">'Data'!$AA$7:$AF$72</definedName>
    <definedName name="Data_3">'Data'!$E$13:$J$35</definedName>
    <definedName name="Data_4">'Data'!$E$39:$J$61</definedName>
    <definedName name="Data_5">'Data'!$AI$6:$AS$28</definedName>
    <definedName name="Data_6">'Data'!$AV$6:$BF$26</definedName>
    <definedName name="Data_7">'Data'!$BJ$6:$BM$11</definedName>
    <definedName name="Data_8">'Data'!$BQ$6:$BT$11</definedName>
    <definedName name="Data_9">'Data'!$BX$6:$CA$7</definedName>
    <definedName name="End">'目次'!$B$4</definedName>
    <definedName name="_xlnm.Print_Area" localSheetId="2">'業務細分率'!$B$4:$K$34</definedName>
    <definedName name="_xlnm.Print_Area" localSheetId="1">'積算'!$B$2:$M$72</definedName>
    <definedName name="消費税">'目次'!$F$7</definedName>
    <definedName name="労務費">'目次'!$H$6</definedName>
  </definedNames>
  <calcPr fullCalcOnLoad="1"/>
</workbook>
</file>

<file path=xl/sharedStrings.xml><?xml version="1.0" encoding="utf-8"?>
<sst xmlns="http://schemas.openxmlformats.org/spreadsheetml/2006/main" count="695" uniqueCount="330">
  <si>
    <t>第一号</t>
  </si>
  <si>
    <t>係数a</t>
  </si>
  <si>
    <t>係数b</t>
  </si>
  <si>
    <t>第2種</t>
  </si>
  <si>
    <t>第二号</t>
  </si>
  <si>
    <t>第三号</t>
  </si>
  <si>
    <t>第四号</t>
  </si>
  <si>
    <t>第六号</t>
  </si>
  <si>
    <t>第七号</t>
  </si>
  <si>
    <t>第八号</t>
  </si>
  <si>
    <t>第九号</t>
  </si>
  <si>
    <t>第十号</t>
  </si>
  <si>
    <t>第十一号</t>
  </si>
  <si>
    <t>第十二号</t>
  </si>
  <si>
    <t>設計</t>
  </si>
  <si>
    <t>工事監理</t>
  </si>
  <si>
    <t>総合</t>
  </si>
  <si>
    <t>構造</t>
  </si>
  <si>
    <t>設備</t>
  </si>
  <si>
    <t>500≦S≦10000</t>
  </si>
  <si>
    <t>10000&lt;S</t>
  </si>
  <si>
    <t>第五号</t>
  </si>
  <si>
    <t>S&lt;1000</t>
  </si>
  <si>
    <t>1000≦S≦10000</t>
  </si>
  <si>
    <t>S&lt;300</t>
  </si>
  <si>
    <t>300≦S≦10000</t>
  </si>
  <si>
    <t>300≦S≦20000</t>
  </si>
  <si>
    <t>第１種</t>
  </si>
  <si>
    <t>第1種</t>
  </si>
  <si>
    <t>第2種</t>
  </si>
  <si>
    <t>S&lt;500</t>
  </si>
  <si>
    <t>500≦S≦20000</t>
  </si>
  <si>
    <t>1000≦S≦20000</t>
  </si>
  <si>
    <t>20000&lt;S</t>
  </si>
  <si>
    <t>消防署等</t>
  </si>
  <si>
    <t>第１類(標準的なもの)</t>
  </si>
  <si>
    <t>第２類(複雑な設計を必要とするもの)</t>
  </si>
  <si>
    <t>延べ面積の合計</t>
  </si>
  <si>
    <t>監理</t>
  </si>
  <si>
    <t>行</t>
  </si>
  <si>
    <t>標準業務量 [人・時間]</t>
  </si>
  <si>
    <t>式</t>
  </si>
  <si>
    <t>設計業務に関する業務細分率</t>
  </si>
  <si>
    <t>業務内容の綱目</t>
  </si>
  <si>
    <t>(ⅰ) 条件整理</t>
  </si>
  <si>
    <t>(ⅰ)法令上の諸条件の調査</t>
  </si>
  <si>
    <t>(ⅰ) 総合検討</t>
  </si>
  <si>
    <t>(6) 概算工事費の検討</t>
  </si>
  <si>
    <t>(7) 基本設計内容の建築主への説明</t>
  </si>
  <si>
    <t>(5) 基本設計図書の作成</t>
  </si>
  <si>
    <t>(ⅰ) 建築主の要求等の確認</t>
  </si>
  <si>
    <t>(ⅰ) 実施設計図書の作成</t>
  </si>
  <si>
    <t>(ⅱ) 建築確認申請図書の作成</t>
  </si>
  <si>
    <t>(5) 概算工事費の検討</t>
  </si>
  <si>
    <t>(6) 実施設計内容の建築主への説明</t>
  </si>
  <si>
    <t>設計業務細分率</t>
  </si>
  <si>
    <t>監理業務細分率</t>
  </si>
  <si>
    <t>(ⅰ) 工事監理方針の説明</t>
  </si>
  <si>
    <t>(ⅰ) 法令上の諸条件の調査</t>
  </si>
  <si>
    <t>(ⅰ) 設計図書の内容の把握</t>
  </si>
  <si>
    <t>(ⅱ) 質疑所の検討</t>
  </si>
  <si>
    <t>(ⅰ) 施工図等の検討及び報告</t>
  </si>
  <si>
    <t>(4) 工事と設計図書との照合及び確認</t>
  </si>
  <si>
    <t>(6) 工事監理報告書等の提出</t>
  </si>
  <si>
    <t>(1) 請負代金内訳書の検討及び報告</t>
  </si>
  <si>
    <t>(2) 工程表の検討及び報告</t>
  </si>
  <si>
    <t>(5) 工事請負契約の目的物の引渡しの立会い</t>
  </si>
  <si>
    <t>(6) 関係機関の検査の立会等</t>
  </si>
  <si>
    <t>(ⅱ) 最終支払い請求の審査</t>
  </si>
  <si>
    <t>基本設計に
 関する業務
 細分率</t>
  </si>
  <si>
    <t>(1) 設計条件
 の整理</t>
  </si>
  <si>
    <t>(2) 法令上の
 諸条件の調査
 及び関係機関
 との打ち合せ</t>
  </si>
  <si>
    <t>(4) 基本設計
 方針策定</t>
  </si>
  <si>
    <t>実施設計に
 関する業務
 細分率</t>
  </si>
  <si>
    <t>設計意図の
 伝達に関す
 る業務の細
 分率</t>
  </si>
  <si>
    <t>(1) 要求の確
 認</t>
  </si>
  <si>
    <t>(3) 実施設計
 方針の策定</t>
  </si>
  <si>
    <t>(4) 実施設計
 図書の作成</t>
  </si>
  <si>
    <t>(1) 設計条件の
 整理</t>
  </si>
  <si>
    <t>(ⅱ) 工事監理方法変更の場合の協
 議</t>
  </si>
  <si>
    <t>(2) 設計図書の
 内容の把握等</t>
  </si>
  <si>
    <t>(3) 設計図書に
 照らした施工図
 等の検討及び
 報告</t>
  </si>
  <si>
    <t>(ⅱ) 工事材料、設備機器等の検討
 及び報告</t>
  </si>
  <si>
    <t>(7) 工事費支払
 いの審査</t>
  </si>
  <si>
    <t>(ⅱ) 工事請負契約に定められた指
 示、検討等</t>
  </si>
  <si>
    <t>(3) 設計図書に定めのある施工計画の検討及び報告</t>
  </si>
  <si>
    <t>(ⅱ) 設計条件の変更等の場合の
 協議</t>
  </si>
  <si>
    <t>(ⅱ) 建築確認申請に係る関係機
 関との打ち合わせ</t>
  </si>
  <si>
    <t>(3) 上下水道、ｶﾞｽ、電力、通信等の供給状況の
 調査及び関係機関との打ち合わせ</t>
  </si>
  <si>
    <t>(ⅱ) 基本設計方針の策定及び建
 築主への説明</t>
  </si>
  <si>
    <t>(ⅱ) 建築条件の変更等の場合の
 協議</t>
  </si>
  <si>
    <t>(ⅱ)建築確認申請に係る関係機
 関との打ち合わせ</t>
  </si>
  <si>
    <t>(ⅱ) 実施設計のための基本事項
 の確定</t>
  </si>
  <si>
    <t>(ⅲ) 実施設計方針の策定及び建
 築主への説明</t>
  </si>
  <si>
    <t>(1) 設計意図を正確に伝えるための質疑応答、説
 明</t>
  </si>
  <si>
    <t>(2) 工事材料、設備機器等の選定に関する設計意
 図の観点からの検討、助言等</t>
  </si>
  <si>
    <t>(5) 工事と設計図書との照合及び確認の結果報告等</t>
  </si>
  <si>
    <t>(ⅲ) 工事が設計図書の内容に適合
　しない疑いがある場合の破壊検査</t>
  </si>
  <si>
    <t>(ⅰ) 工事期間中の工事費支払い請
　求の審査</t>
  </si>
  <si>
    <t>(4) 工事と工事
 請負契約との
 照合、確認、報
 告等</t>
  </si>
  <si>
    <t>○</t>
  </si>
  <si>
    <t>基本設計</t>
  </si>
  <si>
    <t>実施設計</t>
  </si>
  <si>
    <t>基本設計、実施設計</t>
  </si>
  <si>
    <t>基本設計、実施設計、監理</t>
  </si>
  <si>
    <t>実施設計、監理</t>
  </si>
  <si>
    <t>基本</t>
  </si>
  <si>
    <t>実施</t>
  </si>
  <si>
    <t>基本計　</t>
  </si>
  <si>
    <t>実施計　</t>
  </si>
  <si>
    <t>計　</t>
  </si>
  <si>
    <t>業務量 [人・時間]</t>
  </si>
  <si>
    <t>最終業務量 [人・時間]</t>
  </si>
  <si>
    <t>特殊要因の有無</t>
  </si>
  <si>
    <t>敷地が構造設計に相当程度影響のある軟弱な地盤である</t>
  </si>
  <si>
    <t>敷地が構造設計に相当程度影響のある高低差がある</t>
  </si>
  <si>
    <t>アトリウム、ピロティ等を有する</t>
  </si>
  <si>
    <t>中央監理方式の空気調和設備を有する</t>
  </si>
  <si>
    <t>スプリンクラー設備を有する</t>
  </si>
  <si>
    <t>計画通知、又は確認申請</t>
  </si>
  <si>
    <t>必要なし</t>
  </si>
  <si>
    <t>積算業務の有無</t>
  </si>
  <si>
    <t>特殊要因の割増率</t>
  </si>
  <si>
    <t>積算業務量 [人・時間]</t>
  </si>
  <si>
    <t>割増後の業務量 [人・時間]</t>
  </si>
  <si>
    <t>計画通知業務量 [人・時間]</t>
  </si>
  <si>
    <t>積算数量算出書の作成</t>
  </si>
  <si>
    <t>単価作成資料の作成</t>
  </si>
  <si>
    <t>見積徴収</t>
  </si>
  <si>
    <t>見積検討資料の作成</t>
  </si>
  <si>
    <t>積算業務の
 業務内容</t>
  </si>
  <si>
    <t>をﾀﾞﾌﾞﾙｸﾘｯｸすると○を消去します、もう一度ﾀﾞﾌﾞﾙｸﾘｯｸすると表示します。</t>
  </si>
  <si>
    <t>業務委託をしない業務の○を消去してください。</t>
  </si>
  <si>
    <t>工事監理に関する業務細分率</t>
  </si>
  <si>
    <t>工事監理に
 係る業務細
 分率</t>
  </si>
  <si>
    <t>工事監理に
 関するその
 他の業務に
 係る業務細
 分率</t>
  </si>
  <si>
    <t xml:space="preserve">契約締結日 ～ </t>
  </si>
  <si>
    <t>造</t>
  </si>
  <si>
    <t>階</t>
  </si>
  <si>
    <t>戸建住宅(詳細設計要)</t>
  </si>
  <si>
    <t>総合、構造、設備</t>
  </si>
  <si>
    <t>総合、構造</t>
  </si>
  <si>
    <t>構造、設備</t>
  </si>
  <si>
    <t>総合、設備</t>
  </si>
  <si>
    <t>有</t>
  </si>
  <si>
    <t>無</t>
  </si>
  <si>
    <t>階数　</t>
  </si>
  <si>
    <t>委 託 業 務 名</t>
  </si>
  <si>
    <t>委　 託　場　所</t>
  </si>
  <si>
    <t>委　託　期　間</t>
  </si>
  <si>
    <t>建 物 の 構 造</t>
  </si>
  <si>
    <t xml:space="preserve"> 建 物 の 用 途</t>
  </si>
  <si>
    <t>業 務 対 象 率</t>
  </si>
  <si>
    <t xml:space="preserve"> [円/日]</t>
  </si>
  <si>
    <t xml:space="preserve"> [円/時間]</t>
  </si>
  <si>
    <t>業務報酬金額</t>
  </si>
  <si>
    <t>第1号～第12号
(戸建住宅以外)</t>
  </si>
  <si>
    <t>第12号～第15号
(戸建住宅)</t>
  </si>
  <si>
    <t>日付の入力は右例により入力して下さい。</t>
  </si>
  <si>
    <t>設計</t>
  </si>
  <si>
    <t>監理</t>
  </si>
  <si>
    <t>設計、監理</t>
  </si>
  <si>
    <t>直接人件費 [円]</t>
  </si>
  <si>
    <t>設計総合</t>
  </si>
  <si>
    <t>設計構造</t>
  </si>
  <si>
    <t>設計設備</t>
  </si>
  <si>
    <t>監理総合</t>
  </si>
  <si>
    <t>監理構造</t>
  </si>
  <si>
    <t>監理設備</t>
  </si>
  <si>
    <r>
      <t xml:space="preserve">建築設計業務委託料算出書 </t>
    </r>
    <r>
      <rPr>
        <sz val="10"/>
        <color indexed="8"/>
        <rFont val="ＭＳ Ｐ明朝"/>
        <family val="1"/>
      </rPr>
      <t>（延面積に基づく算定方法）</t>
    </r>
  </si>
  <si>
    <t>×諸経費率</t>
  </si>
  <si>
    <t>×経費率</t>
  </si>
  <si>
    <t>(出張旅費、特許使用料その他建築主の依頼により必要となる経費)</t>
  </si>
  <si>
    <t>(A) 直接人件費 ＝</t>
  </si>
  <si>
    <t>(B) 諸経費 ＝</t>
  </si>
  <si>
    <t>(C) 技術料等経費＝</t>
  </si>
  <si>
    <t>(D) 特別経費＝</t>
  </si>
  <si>
    <t>計 (A)+(B)+(C)+(D)＝</t>
  </si>
  <si>
    <t>(E) 消費税相当額＝</t>
  </si>
  <si>
    <t>業務報酬金額＝</t>
  </si>
  <si>
    <t>面積</t>
  </si>
  <si>
    <t>業務内容</t>
  </si>
  <si>
    <t>業務内容、業種</t>
  </si>
  <si>
    <t>業務報酬金額</t>
  </si>
  <si>
    <t>No</t>
  </si>
  <si>
    <t>登録日</t>
  </si>
  <si>
    <t>委託業務名</t>
  </si>
  <si>
    <t>建物用途</t>
  </si>
  <si>
    <t>備考</t>
  </si>
  <si>
    <t>**</t>
  </si>
  <si>
    <t>業務業種</t>
  </si>
  <si>
    <t>備　　　　考</t>
  </si>
  <si>
    <t>直接人件費単価 技師(Ｃ)</t>
  </si>
  <si>
    <t>細分率は戸建住宅の場合と、延べ床面積が空白の場合は表示しません。</t>
  </si>
  <si>
    <t>その他追加業務 [人・時間]</t>
  </si>
  <si>
    <t>Data_7</t>
  </si>
  <si>
    <t>Data_8</t>
  </si>
  <si>
    <t>Data_9</t>
  </si>
  <si>
    <t>○</t>
  </si>
  <si>
    <t>(ⅰ) 工事と工事請負契約との照合、
 確認、報告</t>
  </si>
  <si>
    <t>取扱い説明</t>
  </si>
  <si>
    <t xml:space="preserve"> [㎡]</t>
  </si>
  <si>
    <t>総合</t>
  </si>
  <si>
    <t>最終業務量</t>
  </si>
  <si>
    <t xml:space="preserve"> ［人・時間］×</t>
  </si>
  <si>
    <t>［円/時間］＝</t>
  </si>
  <si>
    <t xml:space="preserve"> [円]</t>
  </si>
  <si>
    <t>＝</t>
  </si>
  <si>
    <t xml:space="preserve"> (A) + (B) + (C) + (D) ×</t>
  </si>
  <si>
    <t>(A) + (B) + (C) + (D) + (E)</t>
  </si>
  <si>
    <t>最初に、「入力ｼｰﾄ追加」釦をｸﾘｯｸします。</t>
  </si>
  <si>
    <t>挿入したNO列の番号は最後の番号に1を加えた数字になります。</t>
  </si>
  <si>
    <t>積算ｼｰﾄで、必要事項を入力して計算します。</t>
  </si>
  <si>
    <t>計算が終わったら、左上の「目次に登録」釦をｸﾘｯｸすると、目次ｼｰﾄにそれぞれの内容を記入します。</t>
  </si>
  <si>
    <t>No列の数字をﾀﾞﾌﾞﾙｸﾘｯｸするとそのｼｰﾄに移動します。</t>
  </si>
  <si>
    <t>不用になったｼｰﾄを削除する時は、その業務委託名のｾﾙをﾀﾞﾌﾞﾙｸﾘｯｸして下さい。</t>
  </si>
  <si>
    <t>No列の数値、及びｼｰﾄ名は変更しないでください。</t>
  </si>
  <si>
    <t>各項目の内容は、積算ｼｰﾄにﾘﾝｸしています。</t>
  </si>
  <si>
    <t>他に記入したいものがあれば、業務報酬金額、又は備考の右側に表を継ぎ足して下さい。</t>
  </si>
  <si>
    <t>年度初めにその年度の労務費単価を入力して上書き保存してください。</t>
  </si>
  <si>
    <t xml:space="preserve"> 円</t>
  </si>
  <si>
    <t>←</t>
  </si>
  <si>
    <t>No列の数字をﾀﾞﾌﾞﾙｸﾘｯｸするとそのｼｰﾄに移動します。　委託業務名をﾀﾞﾌﾞﾙｸﾘｯｸするとそのｼｰﾄを削除します。　ｼｰﾄ名は変更しないでください。</t>
  </si>
  <si>
    <t>「入力ｼｰﾄ追加」釦をｸﾘｯｸして入力ｼｰﾄを追加して入力します。</t>
  </si>
  <si>
    <t>使用するExcelは、ﾏｸﾛ有効の状態で使用して下さい。</t>
  </si>
  <si>
    <t>名前を付けて保存で、適当な名前を付けて保存し、終了します。</t>
  </si>
  <si>
    <t>保存するﾌｧｲﾙ名の拡張子は、Excel2003以前では .xls 、2007以降は .xlms 又は .xls で保存して下さい。</t>
  </si>
  <si>
    <t>次に、別の新しい物件を入力する時は、このﾌｧｲﾙを呼び出しｼｰﾄを追加して入力します。</t>
  </si>
  <si>
    <t>上書き保存して終了します。</t>
  </si>
  <si>
    <t>平成　</t>
  </si>
  <si>
    <t xml:space="preserve">年度　　　労務費単価 技師（C) : </t>
  </si>
  <si>
    <t>業務細分率表</t>
  </si>
  <si>
    <t xml:space="preserve">委託業務名 : </t>
  </si>
  <si>
    <t>工事監理業務の追加業務
　　　(完成図の確認)</t>
  </si>
  <si>
    <t>建築</t>
  </si>
  <si>
    <t>設備</t>
  </si>
  <si>
    <t>完成図の確認</t>
  </si>
  <si>
    <t>完成図確認業務量 [人・時間]</t>
  </si>
  <si>
    <t>このﾌｧｲﾙの内容は、「設計業務積算基準による業務委託料算定(延べ面積)_1」と同じものです。</t>
  </si>
  <si>
    <t>「設計業務積算基準による業務委託料算定(延べ面積)_1」は単物件用で、</t>
  </si>
  <si>
    <t>　「設計業務積算基準による業務委託料算定(延べ面積)_2」は複数件数保存できるように作成してあります。</t>
  </si>
  <si>
    <t>通常は、「設計業務積算基準による業務委託料算定(延べ面積)_2」を使用します。</t>
  </si>
  <si>
    <t>委託料計算の入力方法は、「設計業務積算基準による業務委託料算定(延べ面積)_1」の取扱い説明 を参照して下さい。</t>
  </si>
  <si>
    <t>目次に1行挿入して、積算ｼｰﾄと細分率のｼｰﾄを追加し、積算ｼｰﾄに移動します。</t>
  </si>
  <si>
    <t>戸建住宅(詳細設計＆構造計算要)</t>
  </si>
  <si>
    <t>戸建住宅(詳細設計＆構造計算不要)</t>
  </si>
  <si>
    <t>例 ： 平成29年6月15日→17/6/15</t>
  </si>
  <si>
    <t>和暦</t>
  </si>
  <si>
    <t>消費税 ：　</t>
  </si>
  <si>
    <t>委託期間に使用する暦を選択してください→</t>
  </si>
  <si>
    <t>　％</t>
  </si>
  <si>
    <t xml:space="preserve"> 第一号　(物流施設)</t>
  </si>
  <si>
    <t>車庫</t>
  </si>
  <si>
    <t>倉庫</t>
  </si>
  <si>
    <t>立体駐車場等</t>
  </si>
  <si>
    <t xml:space="preserve"> 第二号　(生産施設)</t>
  </si>
  <si>
    <t>組立工場等</t>
  </si>
  <si>
    <t xml:space="preserve"> 第三号　(運動施設)</t>
  </si>
  <si>
    <t>体育館</t>
  </si>
  <si>
    <t>武道館</t>
  </si>
  <si>
    <t>ｽﾎﾟｰﾂｼﾞﾑ等</t>
  </si>
  <si>
    <t xml:space="preserve"> 第四号　(業務施設)</t>
  </si>
  <si>
    <t>事務所等</t>
  </si>
  <si>
    <t xml:space="preserve"> 第五号 (商業施設)</t>
  </si>
  <si>
    <t>店舗</t>
  </si>
  <si>
    <t>料理店</t>
  </si>
  <si>
    <t>ｽｰﾊﾟｰﾏｰｹｯﾄ等</t>
  </si>
  <si>
    <t xml:space="preserve"> 第六号　(共同住宅)</t>
  </si>
  <si>
    <t>公営住宅</t>
  </si>
  <si>
    <t>社宅</t>
  </si>
  <si>
    <t>賃貸共同住宅</t>
  </si>
  <si>
    <t>寄宿舎等</t>
  </si>
  <si>
    <t xml:space="preserve"> 第七号　(教育施設)</t>
  </si>
  <si>
    <t>幼稚園</t>
  </si>
  <si>
    <t>小学校</t>
  </si>
  <si>
    <t>中学校</t>
  </si>
  <si>
    <t>高等学校</t>
  </si>
  <si>
    <t xml:space="preserve"> 第八号 (専門的教育・研究施設)</t>
  </si>
  <si>
    <t>大学</t>
  </si>
  <si>
    <t>専門学校等</t>
  </si>
  <si>
    <t xml:space="preserve"> 第九号　(宿泊施設)</t>
  </si>
  <si>
    <t>ﾎﾃﾙ</t>
  </si>
  <si>
    <t>旅館等</t>
  </si>
  <si>
    <t xml:space="preserve"> 第十号　(医療施設)</t>
  </si>
  <si>
    <t>病院</t>
  </si>
  <si>
    <t>診療所等</t>
  </si>
  <si>
    <t xml:space="preserve"> 第十一号　(福祉・厚生施設)</t>
  </si>
  <si>
    <t>保育園</t>
  </si>
  <si>
    <t>老人ﾎｰﾑ</t>
  </si>
  <si>
    <t>老人福祉施設</t>
  </si>
  <si>
    <t>ﾘﾊﾋﾞﾘｾﾝﾀｰ等</t>
  </si>
  <si>
    <t xml:space="preserve"> 第十二号(文化・交流・公益施設)</t>
  </si>
  <si>
    <t>公民館</t>
  </si>
  <si>
    <t>集会場</t>
  </si>
  <si>
    <t>ｺﾐｭﾆﾃｨｰｾﾝﾀｰ等</t>
  </si>
  <si>
    <t>立体倉庫</t>
  </si>
  <si>
    <t>物流ﾀｰﾐﾅﾙ等</t>
  </si>
  <si>
    <t>化学工場</t>
  </si>
  <si>
    <t>薬品工場</t>
  </si>
  <si>
    <t>食品工場</t>
  </si>
  <si>
    <t>特殊設備を付帯する工場等</t>
  </si>
  <si>
    <t>屋内ﾌﾟｰﾙ</t>
  </si>
  <si>
    <t>ｽﾀｼﾞｱﾑ等</t>
  </si>
  <si>
    <t>銀行</t>
  </si>
  <si>
    <t>本社ﾋﾞﾙ</t>
  </si>
  <si>
    <t>庁舎等</t>
  </si>
  <si>
    <t>百貨店</t>
  </si>
  <si>
    <t>ｼｮｯﾋﾟﾝｸﾞｾﾝﾀｰ</t>
  </si>
  <si>
    <t>ｼｮｰﾙｰﾑ等</t>
  </si>
  <si>
    <t>分譲共同住宅等</t>
  </si>
  <si>
    <t>研究所等</t>
  </si>
  <si>
    <t>ﾎﾃﾙ(宴会場等を有するもの)</t>
  </si>
  <si>
    <t>保養所等</t>
  </si>
  <si>
    <t>総合病院等</t>
  </si>
  <si>
    <t>多機能福祉施設等</t>
  </si>
  <si>
    <t>映画館</t>
  </si>
  <si>
    <t>劇場</t>
  </si>
  <si>
    <t>美術館</t>
  </si>
  <si>
    <t>博物館</t>
  </si>
  <si>
    <t>図書館</t>
  </si>
  <si>
    <t>研修所</t>
  </si>
  <si>
    <t>警察署</t>
  </si>
  <si>
    <t>構造計算適合判定、ｴﾈﾙｷﾞｰ消費性能適合判定のいずれも必要</t>
  </si>
  <si>
    <t>構造計算適合判定、ｴﾈﾙｷﾞｰ消費性能適合判定のいずれかが必要</t>
  </si>
  <si>
    <t>構造計算適合判定、ｴﾈﾙｷﾞｰ消費性能適合判定のいずれも不必要</t>
  </si>
  <si>
    <t>大学(実験設備を有するもの)</t>
  </si>
  <si>
    <t>専門学校等(実験設備を有するもの)</t>
  </si>
  <si>
    <t>免責事項</t>
  </si>
  <si>
    <t>　　当プログラムの利用につき、何らかのトラブルや損失・損害等につきましては一切責任を問わないものとします。</t>
  </si>
  <si>
    <t>　　自己の責任の上でご利用下さい。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</si>
</sst>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_ "/>
    <numFmt numFmtId="178" formatCode="0.00_ "/>
    <numFmt numFmtId="179" formatCode=";;;"/>
    <numFmt numFmtId="180" formatCode="[$-411]ggge&quot;年&quot;m&quot;月&quot;d&quot;日&quot;;@"/>
    <numFmt numFmtId="181" formatCode="#,##0_);[Red]\(#,##0\)"/>
    <numFmt numFmtId="182" formatCode="0_ "/>
    <numFmt numFmtId="183" formatCode="0.000_ "/>
    <numFmt numFmtId="184" formatCode="0.E+00"/>
    <numFmt numFmtId="185" formatCode="#,##0.0;[Red]\-#,##0.0"/>
    <numFmt numFmtId="186" formatCode="_ @_ "/>
    <numFmt numFmtId="187" formatCode="#,##0.0000"/>
    <numFmt numFmtId="188" formatCode="#,##0.0_);[Red]\(#,##0.0\)"/>
    <numFmt numFmtId="189" formatCode="#,##0.0"/>
    <numFmt numFmtId="190" formatCode="0.0_ "/>
    <numFmt numFmtId="191" formatCode="[$-F800]dddd\,\ mmmm\ dd\,\ yyyy"/>
    <numFmt numFmtId="192" formatCode="yyyy&quot;年&quot;m&quot;月&quot;d&quot;日&quot;;@"/>
    <numFmt numFmtId="193" formatCode="#,###&quot;㎡&quot;\ "/>
    <numFmt numFmtId="194" formatCode="\ General"/>
    <numFmt numFmtId="195" formatCode="#,##0;[Red]#,##0"/>
    <numFmt numFmtId="196" formatCode="#,##0_ &quot;円&quot;"/>
    <numFmt numFmtId="197" formatCode="#,##0_ &quot;円 &quot;"/>
  </numFmts>
  <fonts count="60">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0"/>
      <color indexed="8"/>
      <name val="ＭＳ Ｐ明朝"/>
      <family val="1"/>
    </font>
    <font>
      <sz val="10"/>
      <color indexed="12"/>
      <name val="ＭＳ ゴシック"/>
      <family val="3"/>
    </font>
    <font>
      <sz val="10"/>
      <color indexed="8"/>
      <name val="ＭＳ 明朝"/>
      <family val="1"/>
    </font>
    <font>
      <sz val="12"/>
      <color indexed="8"/>
      <name val="ＭＳ Ｐ明朝"/>
      <family val="1"/>
    </font>
    <font>
      <u val="single"/>
      <sz val="11"/>
      <color indexed="12"/>
      <name val="ＭＳ Ｐゴシック"/>
      <family val="3"/>
    </font>
    <font>
      <u val="single"/>
      <sz val="11"/>
      <color indexed="36"/>
      <name val="ＭＳ Ｐゴシック"/>
      <family val="3"/>
    </font>
    <font>
      <sz val="9"/>
      <color indexed="8"/>
      <name val="ＭＳ ゴシック"/>
      <family val="3"/>
    </font>
    <font>
      <sz val="8"/>
      <color indexed="8"/>
      <name val="ＭＳ ゴシック"/>
      <family val="3"/>
    </font>
    <font>
      <sz val="9"/>
      <color indexed="8"/>
      <name val="ＭＳ Ｐ明朝"/>
      <family val="1"/>
    </font>
    <font>
      <sz val="14"/>
      <name val="ＭＳ 明朝"/>
      <family val="1"/>
    </font>
    <font>
      <sz val="7"/>
      <name val="ＭＳ 明朝"/>
      <family val="1"/>
    </font>
    <font>
      <sz val="9"/>
      <name val="ＭＳ ゴシック"/>
      <family val="3"/>
    </font>
    <font>
      <sz val="9"/>
      <name val="ＭＳ Ｐ明朝"/>
      <family val="1"/>
    </font>
    <font>
      <sz val="9"/>
      <color indexed="12"/>
      <name val="ＭＳ ゴシック"/>
      <family val="3"/>
    </font>
    <font>
      <sz val="10"/>
      <color indexed="8"/>
      <name val="ＭＳ Ｐゴシック"/>
      <family val="3"/>
    </font>
    <font>
      <sz val="10"/>
      <name val="ＭＳ ゴシック"/>
      <family val="3"/>
    </font>
    <font>
      <sz val="10"/>
      <color indexed="12"/>
      <name val="ＭＳ Ｐ明朝"/>
      <family val="1"/>
    </font>
    <font>
      <sz val="11"/>
      <name val="ＭＳ 明朝"/>
      <family val="1"/>
    </font>
    <font>
      <sz val="10"/>
      <name val="ＭＳ Ｐ明朝"/>
      <family val="1"/>
    </font>
    <font>
      <b/>
      <sz val="18"/>
      <color indexed="56"/>
      <name val="ＭＳ Ｐゴシック"/>
      <family val="3"/>
    </font>
    <font>
      <b/>
      <sz val="15"/>
      <color indexed="56"/>
      <name val="ＭＳ Ｐゴシック"/>
      <family val="3"/>
    </font>
    <font>
      <b/>
      <sz val="11"/>
      <color indexed="56"/>
      <name val="ＭＳ Ｐゴシック"/>
      <family val="3"/>
    </font>
    <font>
      <sz val="9"/>
      <color indexed="10"/>
      <name val="ＭＳ ゴシック"/>
      <family val="3"/>
    </font>
    <font>
      <sz val="12"/>
      <name val="ＭＳ 明朝"/>
      <family val="1"/>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indexed="10"/>
      <name val="ＭＳ Ｐ明朝"/>
      <family val="1"/>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rgb="FFFF0000"/>
      <name val="ＭＳ Ｐ明朝"/>
      <family val="1"/>
    </font>
    <font>
      <sz val="11"/>
      <color rgb="FFFF0000"/>
      <name val="ＭＳ Ｐ明朝"/>
      <family val="1"/>
    </font>
    <font>
      <sz val="10"/>
      <color theme="1"/>
      <name val="ＭＳ 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5"/>
        <bgColor indexed="64"/>
      </patternFill>
    </fill>
    <fill>
      <patternFill patternType="solid">
        <fgColor indexed="24"/>
        <bgColor indexed="64"/>
      </patternFill>
    </fill>
    <fill>
      <patternFill patternType="solid">
        <fgColor theme="0"/>
        <bgColor indexed="64"/>
      </patternFill>
    </fill>
    <fill>
      <patternFill patternType="solid">
        <fgColor rgb="FFC8FFC8"/>
        <bgColor indexed="64"/>
      </patternFill>
    </fill>
    <fill>
      <patternFill patternType="solid">
        <fgColor rgb="FFFFDCFF"/>
        <bgColor indexed="64"/>
      </patternFill>
    </fill>
    <fill>
      <patternFill patternType="solid">
        <fgColor rgb="FFCCFFCC"/>
        <bgColor indexed="64"/>
      </patternFill>
    </fill>
    <fill>
      <patternFill patternType="solid">
        <fgColor rgb="FFDCFFFF"/>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medium"/>
      <top/>
      <bottom/>
    </border>
    <border>
      <left style="double">
        <color indexed="14"/>
      </left>
      <right/>
      <top/>
      <bottom/>
    </border>
    <border>
      <left style="thin">
        <color indexed="12"/>
      </left>
      <right style="medium"/>
      <top style="thin">
        <color indexed="12"/>
      </top>
      <bottom style="thin">
        <color indexed="12"/>
      </bottom>
    </border>
    <border>
      <left style="thin">
        <color indexed="12"/>
      </left>
      <right/>
      <top style="thin">
        <color indexed="12"/>
      </top>
      <bottom style="medium"/>
    </border>
    <border>
      <left style="thin">
        <color indexed="12"/>
      </left>
      <right/>
      <top style="thin">
        <color indexed="12"/>
      </top>
      <bottom/>
    </border>
    <border>
      <left style="medium"/>
      <right/>
      <top style="thin">
        <color indexed="12"/>
      </top>
      <bottom style="medium"/>
    </border>
    <border>
      <left/>
      <right/>
      <top style="thin">
        <color indexed="12"/>
      </top>
      <bottom style="medium"/>
    </border>
    <border>
      <left/>
      <right/>
      <top/>
      <bottom style="thin">
        <color indexed="12"/>
      </bottom>
    </border>
    <border>
      <left/>
      <right style="medium"/>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2"/>
      </right>
      <top style="thin">
        <color indexed="12"/>
      </top>
      <bottom/>
    </border>
    <border>
      <left style="thin">
        <color indexed="12"/>
      </left>
      <right style="thin">
        <color indexed="12"/>
      </right>
      <top style="hair">
        <color indexed="12"/>
      </top>
      <bottom style="thin">
        <color indexed="12"/>
      </bottom>
    </border>
    <border>
      <left style="thin">
        <color indexed="12"/>
      </left>
      <right style="thin">
        <color indexed="12"/>
      </right>
      <top style="thin">
        <color indexed="12"/>
      </top>
      <bottom style="hair">
        <color indexed="12"/>
      </bottom>
    </border>
    <border>
      <left style="medium"/>
      <right style="thin">
        <color indexed="12"/>
      </right>
      <top/>
      <bottom style="thin">
        <color indexed="12"/>
      </bottom>
    </border>
    <border>
      <left/>
      <right style="double">
        <color indexed="14"/>
      </right>
      <top/>
      <bottom style="thin">
        <color indexed="12"/>
      </bottom>
    </border>
    <border>
      <left style="double">
        <color indexed="14"/>
      </left>
      <right style="thin">
        <color indexed="12"/>
      </right>
      <top/>
      <bottom style="thin">
        <color indexed="12"/>
      </bottom>
    </border>
    <border>
      <left style="thin">
        <color indexed="12"/>
      </left>
      <right style="thin">
        <color indexed="12"/>
      </right>
      <top style="hair">
        <color indexed="12"/>
      </top>
      <bottom style="hair">
        <color indexed="12"/>
      </bottom>
    </border>
    <border>
      <left style="hair"/>
      <right/>
      <top style="hair"/>
      <bottom style="thin"/>
    </border>
    <border>
      <left style="medium"/>
      <right/>
      <top style="thin">
        <color indexed="12"/>
      </top>
      <bottom/>
    </border>
    <border>
      <left/>
      <right/>
      <top style="thin">
        <color indexed="12"/>
      </top>
      <bottom/>
    </border>
    <border>
      <left/>
      <right style="thin">
        <color indexed="12"/>
      </right>
      <top style="thin">
        <color indexed="12"/>
      </top>
      <bottom/>
    </border>
    <border>
      <left/>
      <right style="thin">
        <color indexed="12"/>
      </right>
      <top style="thin">
        <color indexed="12"/>
      </top>
      <bottom style="medium"/>
    </border>
    <border diagonalUp="1">
      <left style="thin"/>
      <right style="hair"/>
      <top style="thin"/>
      <bottom style="thin"/>
      <diagonal style="hair"/>
    </border>
    <border diagonalUp="1">
      <left style="hair"/>
      <right style="hair"/>
      <top style="thin"/>
      <bottom style="thin"/>
      <diagonal style="hair"/>
    </border>
    <border>
      <left style="double">
        <color indexed="14"/>
      </left>
      <right/>
      <top style="thin">
        <color indexed="12"/>
      </top>
      <bottom style="thin">
        <color indexed="12"/>
      </bottom>
    </border>
    <border>
      <left/>
      <right/>
      <top style="thin">
        <color indexed="12"/>
      </top>
      <bottom style="thin">
        <color indexed="12"/>
      </bottom>
    </border>
    <border>
      <left/>
      <right style="medium"/>
      <top style="thin">
        <color indexed="12"/>
      </top>
      <bottom style="thin">
        <color indexed="12"/>
      </bottom>
    </border>
    <border>
      <left style="double">
        <color indexed="14"/>
      </left>
      <right/>
      <top/>
      <bottom style="medium"/>
    </border>
    <border>
      <left/>
      <right/>
      <top/>
      <bottom style="medium"/>
    </border>
    <border>
      <left/>
      <right style="medium"/>
      <top/>
      <bottom style="medium"/>
    </border>
    <border diagonalUp="1">
      <left style="hair"/>
      <right/>
      <top style="thin"/>
      <bottom style="thin"/>
      <diagonal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top style="thin"/>
      <bottom/>
    </border>
    <border>
      <left style="hair"/>
      <right style="hair"/>
      <top style="thin"/>
      <bottom/>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style="thin"/>
    </border>
    <border>
      <left style="thin"/>
      <right style="thin"/>
      <top style="thin"/>
      <bottom style="hair"/>
    </border>
    <border>
      <left style="hair"/>
      <right style="thin"/>
      <top style="hair"/>
      <bottom style="thin"/>
    </border>
    <border>
      <left>
        <color indexed="63"/>
      </left>
      <right style="hair"/>
      <top style="hair"/>
      <bottom style="thin"/>
    </border>
    <border>
      <left style="hair"/>
      <right/>
      <top style="thin"/>
      <bottom style="hair"/>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diagonalUp="1">
      <left style="thin"/>
      <right style="hair"/>
      <top style="thin"/>
      <bottom>
        <color indexed="63"/>
      </bottom>
      <diagonal style="hair"/>
    </border>
    <border>
      <left style="thin">
        <color indexed="10"/>
      </left>
      <right style="thin"/>
      <top style="thin">
        <color indexed="10"/>
      </top>
      <bottom style="hair">
        <color indexed="12"/>
      </bottom>
    </border>
    <border>
      <left style="thin">
        <color indexed="10"/>
      </left>
      <right style="thin"/>
      <top>
        <color indexed="63"/>
      </top>
      <bottom style="hair">
        <color indexed="14"/>
      </bottom>
    </border>
    <border>
      <left style="thin"/>
      <right style="hair">
        <color indexed="14"/>
      </right>
      <top>
        <color indexed="63"/>
      </top>
      <bottom style="hair">
        <color indexed="14"/>
      </bottom>
    </border>
    <border>
      <left style="hair">
        <color indexed="14"/>
      </left>
      <right style="hair">
        <color indexed="14"/>
      </right>
      <top>
        <color indexed="63"/>
      </top>
      <bottom style="hair">
        <color indexed="14"/>
      </bottom>
    </border>
    <border>
      <left style="hair">
        <color indexed="14"/>
      </left>
      <right style="thin"/>
      <top>
        <color indexed="63"/>
      </top>
      <bottom style="hair">
        <color indexed="14"/>
      </bottom>
    </border>
    <border>
      <left style="hair">
        <color indexed="14"/>
      </left>
      <right style="thin">
        <color indexed="10"/>
      </right>
      <top>
        <color indexed="63"/>
      </top>
      <bottom style="hair">
        <color indexed="14"/>
      </bottom>
    </border>
    <border>
      <left style="thin">
        <color indexed="10"/>
      </left>
      <right style="thin"/>
      <top>
        <color indexed="63"/>
      </top>
      <bottom>
        <color indexed="63"/>
      </bottom>
    </border>
    <border>
      <left style="thin"/>
      <right style="hair">
        <color indexed="14"/>
      </right>
      <top>
        <color indexed="63"/>
      </top>
      <bottom>
        <color indexed="63"/>
      </bottom>
    </border>
    <border>
      <left style="hair">
        <color indexed="14"/>
      </left>
      <right style="hair">
        <color indexed="14"/>
      </right>
      <top>
        <color indexed="63"/>
      </top>
      <bottom>
        <color indexed="63"/>
      </bottom>
    </border>
    <border>
      <left style="hair">
        <color indexed="14"/>
      </left>
      <right style="thin"/>
      <top>
        <color indexed="63"/>
      </top>
      <bottom>
        <color indexed="63"/>
      </bottom>
    </border>
    <border>
      <left style="hair">
        <color indexed="14"/>
      </left>
      <right style="thin">
        <color indexed="10"/>
      </right>
      <top>
        <color indexed="63"/>
      </top>
      <bottom>
        <color indexed="63"/>
      </bottom>
    </border>
    <border>
      <left style="thin">
        <color indexed="10"/>
      </left>
      <right style="thin"/>
      <top style="hair">
        <color indexed="14"/>
      </top>
      <bottom style="thin">
        <color indexed="10"/>
      </bottom>
    </border>
    <border>
      <left style="hair">
        <color indexed="14"/>
      </left>
      <right style="hair">
        <color indexed="14"/>
      </right>
      <top style="hair">
        <color indexed="14"/>
      </top>
      <bottom style="thin">
        <color indexed="10"/>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border>
    <border>
      <left style="hair"/>
      <right style="thin"/>
      <top style="thin"/>
      <bottom/>
    </border>
    <border>
      <left style="thin">
        <color indexed="10"/>
      </left>
      <right style="thin"/>
      <top style="thin">
        <color indexed="10"/>
      </top>
      <bottom>
        <color indexed="63"/>
      </bottom>
    </border>
    <border>
      <left style="thin">
        <color indexed="10"/>
      </left>
      <right style="thin"/>
      <top style="hair">
        <color indexed="12"/>
      </top>
      <bottom>
        <color indexed="63"/>
      </bottom>
    </border>
    <border>
      <left style="thin"/>
      <right style="hair">
        <color indexed="14"/>
      </right>
      <top style="hair">
        <color indexed="12"/>
      </top>
      <bottom>
        <color indexed="63"/>
      </bottom>
    </border>
    <border>
      <left style="hair">
        <color indexed="14"/>
      </left>
      <right style="hair">
        <color indexed="14"/>
      </right>
      <top style="hair">
        <color indexed="12"/>
      </top>
      <bottom>
        <color indexed="63"/>
      </bottom>
    </border>
    <border>
      <left style="hair">
        <color indexed="14"/>
      </left>
      <right style="thin"/>
      <top style="hair">
        <color indexed="12"/>
      </top>
      <bottom>
        <color indexed="63"/>
      </bottom>
    </border>
    <border>
      <left style="hair">
        <color indexed="14"/>
      </left>
      <right style="thin">
        <color indexed="10"/>
      </right>
      <top style="hair">
        <color indexed="12"/>
      </top>
      <bottom>
        <color indexed="63"/>
      </bottom>
    </border>
    <border>
      <left style="thin"/>
      <right style="hair">
        <color indexed="14"/>
      </right>
      <top style="hair">
        <color indexed="14"/>
      </top>
      <bottom style="thin">
        <color indexed="10"/>
      </bottom>
    </border>
    <border>
      <left style="hair">
        <color indexed="14"/>
      </left>
      <right style="thin"/>
      <top style="hair">
        <color indexed="14"/>
      </top>
      <bottom style="thin">
        <color indexed="10"/>
      </bottom>
    </border>
    <border>
      <left style="hair">
        <color indexed="14"/>
      </left>
      <right style="thin">
        <color indexed="10"/>
      </right>
      <top style="hair">
        <color indexed="14"/>
      </top>
      <bottom style="thin">
        <color indexed="10"/>
      </bottom>
    </border>
    <border>
      <left>
        <color indexed="63"/>
      </left>
      <right style="hair"/>
      <top>
        <color indexed="63"/>
      </top>
      <bottom>
        <color indexed="63"/>
      </bottom>
    </border>
    <border>
      <left style="thin">
        <color indexed="12"/>
      </left>
      <right style="double">
        <color indexed="14"/>
      </right>
      <top style="hair">
        <color indexed="12"/>
      </top>
      <bottom style="thin">
        <color indexed="12"/>
      </bottom>
    </border>
    <border>
      <left style="thin">
        <color indexed="12"/>
      </left>
      <right/>
      <top style="thin">
        <color indexed="12"/>
      </top>
      <bottom style="thin">
        <color indexed="12"/>
      </bottom>
    </border>
    <border>
      <left style="thin">
        <color indexed="12"/>
      </left>
      <right style="double">
        <color indexed="14"/>
      </right>
      <top style="thin">
        <color indexed="12"/>
      </top>
      <bottom style="hair">
        <color indexed="12"/>
      </bottom>
    </border>
    <border>
      <left style="thin">
        <color indexed="12"/>
      </left>
      <right style="double">
        <color indexed="14"/>
      </right>
      <top style="hair">
        <color indexed="12"/>
      </top>
      <bottom style="hair">
        <color indexed="12"/>
      </bottom>
    </border>
    <border>
      <left style="hair"/>
      <right style="thin"/>
      <top/>
      <bottom/>
    </border>
    <border>
      <left>
        <color indexed="63"/>
      </left>
      <right style="hair"/>
      <top style="thin"/>
      <bottom>
        <color indexed="63"/>
      </bottom>
    </border>
    <border>
      <left style="thin"/>
      <right style="hair"/>
      <top/>
      <bottom/>
    </border>
    <border>
      <left style="hair"/>
      <right style="hair"/>
      <top/>
      <bottom/>
    </border>
    <border>
      <left style="thin"/>
      <right style="thin"/>
      <top style="hair"/>
      <bottom style="thin"/>
    </border>
    <border>
      <left style="medium"/>
      <right/>
      <top style="medium"/>
      <bottom style="thin"/>
    </border>
    <border>
      <left/>
      <right/>
      <top style="medium"/>
      <bottom style="thin"/>
    </border>
    <border>
      <left style="medium"/>
      <right/>
      <top>
        <color indexed="63"/>
      </top>
      <bottom style="thin"/>
    </border>
    <border>
      <left style="double">
        <color indexed="14"/>
      </left>
      <right/>
      <top>
        <color indexed="63"/>
      </top>
      <bottom style="thin"/>
    </border>
    <border>
      <left/>
      <right style="medium"/>
      <top>
        <color indexed="63"/>
      </top>
      <bottom style="thin"/>
    </border>
    <border>
      <left/>
      <right/>
      <top style="thin">
        <color indexed="12"/>
      </top>
      <bottom style="thin">
        <color rgb="FF0000FF"/>
      </bottom>
    </border>
    <border>
      <left style="thin">
        <color indexed="12"/>
      </left>
      <right style="medium"/>
      <top style="thin">
        <color indexed="12"/>
      </top>
      <bottom style="thin">
        <color rgb="FF0000FF"/>
      </bottom>
    </border>
    <border>
      <left style="thin"/>
      <right style="thin"/>
      <top style="thin"/>
      <bottom style="thin">
        <color indexed="10"/>
      </bottom>
    </border>
    <border>
      <left style="thin"/>
      <right style="hair"/>
      <top style="thin"/>
      <bottom style="thin">
        <color indexed="10"/>
      </bottom>
    </border>
    <border>
      <left>
        <color indexed="63"/>
      </left>
      <right>
        <color indexed="63"/>
      </right>
      <top style="thin"/>
      <bottom style="thin">
        <color indexed="10"/>
      </bottom>
    </border>
    <border>
      <left style="hair"/>
      <right style="thin"/>
      <top style="thin"/>
      <bottom style="thin">
        <color indexed="10"/>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style="hair"/>
      <top style="thin">
        <color indexed="10"/>
      </top>
      <bottom>
        <color indexed="63"/>
      </bottom>
      <diagonal style="hair"/>
    </border>
    <border diagonalUp="1">
      <left style="hair"/>
      <right style="hair"/>
      <top style="thin">
        <color indexed="10"/>
      </top>
      <bottom>
        <color indexed="63"/>
      </bottom>
      <diagonal style="hair"/>
    </border>
    <border diagonalUp="1">
      <left style="hair"/>
      <right style="thin"/>
      <top style="thin">
        <color indexed="10"/>
      </top>
      <bottom>
        <color indexed="63"/>
      </bottom>
      <diagonal style="hair"/>
    </border>
    <border diagonalUp="1">
      <left style="hair"/>
      <right style="thin">
        <color indexed="10"/>
      </right>
      <top style="thin">
        <color indexed="10"/>
      </top>
      <bottom>
        <color indexed="63"/>
      </bottom>
      <diagonal style="hair"/>
    </border>
    <border>
      <left style="thin"/>
      <right>
        <color indexed="63"/>
      </right>
      <top style="thin"/>
      <bottom style="hair"/>
    </border>
    <border>
      <left>
        <color indexed="63"/>
      </left>
      <right>
        <color indexed="63"/>
      </right>
      <top style="thin"/>
      <bottom style="hair"/>
    </border>
    <border>
      <left/>
      <right style="thin"/>
      <top style="thin"/>
      <bottom style="hair"/>
    </border>
    <border>
      <left/>
      <right style="hair"/>
      <top style="thin"/>
      <bottom style="hair"/>
    </border>
    <border>
      <left style="thin"/>
      <right style="hair"/>
      <top/>
      <bottom style="thin"/>
    </border>
    <border>
      <left style="hair"/>
      <right style="hair"/>
      <top/>
      <bottom style="thin"/>
    </border>
    <border>
      <left style="hair"/>
      <right style="thin"/>
      <top>
        <color indexed="63"/>
      </top>
      <bottom style="thin"/>
    </border>
    <border diagonalUp="1">
      <left style="thin"/>
      <right/>
      <top style="thin"/>
      <bottom style="thin">
        <color indexed="10"/>
      </bottom>
      <diagonal style="hair"/>
    </border>
    <border diagonalUp="1">
      <left/>
      <right/>
      <top style="thin"/>
      <bottom style="thin">
        <color indexed="10"/>
      </bottom>
      <diagonal style="hair"/>
    </border>
    <border diagonalUp="1">
      <left/>
      <right style="thin"/>
      <top style="thin"/>
      <bottom style="thin">
        <color indexed="10"/>
      </bottom>
      <diagonal style="hair"/>
    </border>
    <border diagonalUp="1">
      <left style="thin"/>
      <right>
        <color indexed="63"/>
      </right>
      <top style="thin">
        <color indexed="10"/>
      </top>
      <bottom style="hair">
        <color indexed="12"/>
      </bottom>
      <diagonal style="hair"/>
    </border>
    <border diagonalUp="1">
      <left>
        <color indexed="63"/>
      </left>
      <right>
        <color indexed="63"/>
      </right>
      <top style="thin">
        <color indexed="10"/>
      </top>
      <bottom style="hair">
        <color indexed="12"/>
      </bottom>
      <diagonal style="hair"/>
    </border>
    <border diagonalUp="1">
      <left>
        <color indexed="63"/>
      </left>
      <right style="thin"/>
      <top style="thin">
        <color indexed="10"/>
      </top>
      <bottom style="hair">
        <color indexed="12"/>
      </bottom>
      <diagonal style="hair"/>
    </border>
    <border diagonalUp="1">
      <left>
        <color indexed="63"/>
      </left>
      <right style="thin">
        <color indexed="10"/>
      </right>
      <top style="thin">
        <color indexed="10"/>
      </top>
      <bottom style="hair">
        <color indexed="12"/>
      </bottom>
      <diagonal style="hair"/>
    </border>
    <border diagonalUp="1">
      <left style="thin"/>
      <right/>
      <top style="thin"/>
      <bottom/>
      <diagonal style="hair"/>
    </border>
    <border diagonalUp="1">
      <left/>
      <right style="hair"/>
      <top style="thin"/>
      <bottom>
        <color indexed="63"/>
      </bottom>
      <diagonal style="hair"/>
    </border>
    <border diagonalUp="1">
      <left style="thin"/>
      <right style="hair"/>
      <top/>
      <bottom/>
      <diagonal style="hair"/>
    </border>
    <border diagonalUp="1">
      <left style="hair"/>
      <right style="hair"/>
      <top style="thin"/>
      <bottom/>
      <diagonal style="hair"/>
    </border>
    <border diagonalUp="1">
      <left style="hair"/>
      <right style="hair"/>
      <top/>
      <bottom/>
      <diagonal style="hair"/>
    </border>
    <border diagonalUp="1">
      <left style="hair"/>
      <right style="thin"/>
      <top style="thin"/>
      <bottom/>
      <diagonal style="hair"/>
    </border>
    <border diagonalUp="1">
      <left style="hair"/>
      <right style="thin"/>
      <top/>
      <bottom/>
      <diagonal style="hair"/>
    </border>
    <border diagonalUp="1">
      <left style="hair"/>
      <right/>
      <top style="thin"/>
      <bottom>
        <color indexed="63"/>
      </bottom>
      <diagonal style="hair"/>
    </border>
    <border diagonalUp="1">
      <left/>
      <right style="thin"/>
      <top style="thin"/>
      <bottom>
        <color indexed="63"/>
      </bottom>
      <diagonal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color indexed="63"/>
      </top>
      <bottom style="thin"/>
    </border>
    <border>
      <left style="thin"/>
      <right/>
      <top/>
      <bottom style="hair"/>
    </border>
    <border>
      <left/>
      <right style="hair"/>
      <top/>
      <bottom style="hair"/>
    </border>
    <border>
      <left style="hair"/>
      <right/>
      <top/>
      <bottom style="hair"/>
    </border>
    <border>
      <left/>
      <right style="thin"/>
      <top/>
      <bottom style="hair"/>
    </border>
    <border>
      <left>
        <color indexed="63"/>
      </left>
      <right style="hair"/>
      <top style="thin"/>
      <bottom style="thin"/>
    </border>
    <border>
      <left style="thin"/>
      <right>
        <color indexed="63"/>
      </right>
      <top style="hair"/>
      <bottom style="hair"/>
    </border>
    <border>
      <left>
        <color indexed="63"/>
      </left>
      <right>
        <color indexed="63"/>
      </right>
      <top style="hair"/>
      <bottom style="hair"/>
    </border>
    <border>
      <left style="double">
        <color indexed="14"/>
      </left>
      <right style="thin">
        <color indexed="12"/>
      </right>
      <top style="thin">
        <color indexed="12"/>
      </top>
      <bottom/>
    </border>
    <border>
      <left style="double">
        <color indexed="14"/>
      </left>
      <right style="thin">
        <color indexed="12"/>
      </right>
      <top/>
      <bottom/>
    </border>
    <border>
      <left style="thin">
        <color indexed="12"/>
      </left>
      <right style="thin">
        <color indexed="12"/>
      </right>
      <top/>
      <bottom style="thin">
        <color indexed="12"/>
      </bottom>
    </border>
    <border>
      <left style="double">
        <color indexed="14"/>
      </left>
      <right/>
      <top style="thin">
        <color indexed="12"/>
      </top>
      <bottom/>
    </border>
    <border>
      <left/>
      <right style="thin"/>
      <top style="thin">
        <color indexed="12"/>
      </top>
      <bottom/>
    </border>
    <border>
      <left style="double">
        <color indexed="14"/>
      </left>
      <right/>
      <top>
        <color indexed="63"/>
      </top>
      <bottom style="thin">
        <color rgb="FF0000FF"/>
      </bottom>
    </border>
    <border>
      <left/>
      <right style="thin"/>
      <top/>
      <bottom style="thin">
        <color rgb="FF0000FF"/>
      </bottom>
    </border>
    <border>
      <left style="medium"/>
      <right style="thin">
        <color indexed="12"/>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bottom/>
    </border>
    <border>
      <left style="thin"/>
      <right/>
      <top style="medium"/>
      <bottom style="thin"/>
    </border>
    <border>
      <left/>
      <right style="medium"/>
      <top style="medium"/>
      <bottom style="thin"/>
    </border>
    <border>
      <left style="thin">
        <color indexed="12"/>
      </left>
      <right/>
      <top/>
      <bottom style="thin">
        <color indexed="12"/>
      </bottom>
    </border>
    <border>
      <left style="double">
        <color indexed="14"/>
      </left>
      <right style="thin">
        <color indexed="12"/>
      </right>
      <top style="thin">
        <color indexed="12"/>
      </top>
      <bottom style="thin">
        <color indexed="12"/>
      </botto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23" fillId="0" borderId="0" applyNumberFormat="0" applyFill="0" applyBorder="0" applyAlignment="0" applyProtection="0"/>
    <xf numFmtId="0" fontId="44" fillId="23" borderId="1" applyNumberFormat="0" applyAlignment="0" applyProtection="0"/>
    <xf numFmtId="0" fontId="45" fillId="24"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5" borderId="2" applyNumberFormat="0" applyFont="0" applyAlignment="0" applyProtection="0"/>
    <xf numFmtId="0" fontId="46" fillId="0" borderId="3" applyNumberFormat="0" applyFill="0" applyAlignment="0" applyProtection="0"/>
    <xf numFmtId="0" fontId="47" fillId="26" borderId="0" applyNumberFormat="0" applyBorder="0" applyAlignment="0" applyProtection="0"/>
    <xf numFmtId="0" fontId="48" fillId="27"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4" fillId="0" borderId="5" applyNumberFormat="0" applyFill="0" applyAlignment="0" applyProtection="0"/>
    <xf numFmtId="0" fontId="50"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51" fillId="0" borderId="8" applyNumberFormat="0" applyFill="0" applyAlignment="0" applyProtection="0"/>
    <xf numFmtId="0" fontId="52" fillId="27"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28" borderId="4" applyNumberFormat="0" applyAlignment="0" applyProtection="0"/>
    <xf numFmtId="0" fontId="0" fillId="0" borderId="0">
      <alignment vertical="center"/>
      <protection/>
    </xf>
    <xf numFmtId="37" fontId="13" fillId="0" borderId="0">
      <alignment/>
      <protection/>
    </xf>
    <xf numFmtId="0" fontId="9" fillId="0" borderId="0" applyNumberFormat="0" applyFill="0" applyBorder="0" applyAlignment="0" applyProtection="0"/>
    <xf numFmtId="0" fontId="55" fillId="29" borderId="0" applyNumberFormat="0" applyBorder="0" applyAlignment="0" applyProtection="0"/>
  </cellStyleXfs>
  <cellXfs count="508">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quotePrefix="1">
      <alignment horizontal="left" vertical="center"/>
    </xf>
    <xf numFmtId="0" fontId="3" fillId="0" borderId="0" xfId="0" applyFont="1" applyAlignment="1" quotePrefix="1">
      <alignment horizontal="center" vertical="center"/>
    </xf>
    <xf numFmtId="0" fontId="4" fillId="4" borderId="0" xfId="0" applyFont="1" applyFill="1" applyAlignment="1" applyProtection="1">
      <alignment vertical="center"/>
      <protection locked="0"/>
    </xf>
    <xf numFmtId="0" fontId="3" fillId="4" borderId="0" xfId="0" applyFont="1" applyFill="1" applyAlignment="1" applyProtection="1">
      <alignment horizontal="center" vertical="center"/>
      <protection locked="0"/>
    </xf>
    <xf numFmtId="0" fontId="3" fillId="4" borderId="0" xfId="0" applyFont="1" applyFill="1" applyAlignment="1" applyProtection="1" quotePrefix="1">
      <alignment horizontal="center"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quotePrefix="1">
      <alignment horizontal="left" vertical="center"/>
      <protection locked="0"/>
    </xf>
    <xf numFmtId="0" fontId="3" fillId="4" borderId="0" xfId="0" applyFont="1" applyFill="1" applyAlignment="1" applyProtection="1">
      <alignment vertical="center"/>
      <protection locked="0"/>
    </xf>
    <xf numFmtId="0" fontId="4" fillId="30" borderId="0" xfId="0" applyFont="1" applyFill="1" applyAlignment="1" applyProtection="1">
      <alignment vertical="center"/>
      <protection locked="0"/>
    </xf>
    <xf numFmtId="0" fontId="4" fillId="30" borderId="0" xfId="0" applyFont="1" applyFill="1" applyAlignment="1" applyProtection="1">
      <alignment horizontal="center" vertical="center"/>
      <protection locked="0"/>
    </xf>
    <xf numFmtId="0" fontId="4" fillId="30" borderId="0" xfId="0" applyFont="1" applyFill="1" applyAlignment="1" applyProtection="1" quotePrefix="1">
      <alignment horizontal="left" vertical="center"/>
      <protection locked="0"/>
    </xf>
    <xf numFmtId="0" fontId="4" fillId="4" borderId="0" xfId="0" applyFont="1" applyFill="1" applyAlignment="1" applyProtection="1">
      <alignment horizontal="center" vertical="center"/>
      <protection locked="0"/>
    </xf>
    <xf numFmtId="0" fontId="4" fillId="30" borderId="10" xfId="0" applyFont="1" applyFill="1" applyBorder="1" applyAlignment="1" applyProtection="1">
      <alignment horizontal="center" vertical="center"/>
      <protection locked="0"/>
    </xf>
    <xf numFmtId="0" fontId="4" fillId="30" borderId="11"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quotePrefix="1">
      <alignment horizontal="center" vertical="center"/>
    </xf>
    <xf numFmtId="0" fontId="3" fillId="0" borderId="15" xfId="0" applyFont="1" applyBorder="1" applyAlignment="1" quotePrefix="1">
      <alignment horizontal="center" vertical="center"/>
    </xf>
    <xf numFmtId="0" fontId="3" fillId="0" borderId="14" xfId="0" applyFont="1" applyBorder="1" applyAlignment="1" quotePrefix="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4" borderId="12" xfId="0" applyFont="1" applyFill="1" applyBorder="1" applyAlignment="1">
      <alignment vertical="center"/>
    </xf>
    <xf numFmtId="0" fontId="3" fillId="4" borderId="13" xfId="0" applyFont="1" applyFill="1" applyBorder="1" applyAlignment="1">
      <alignment vertical="center"/>
    </xf>
    <xf numFmtId="0" fontId="3" fillId="4" borderId="14" xfId="0" applyFont="1" applyFill="1" applyBorder="1" applyAlignment="1">
      <alignment vertical="center"/>
    </xf>
    <xf numFmtId="0" fontId="3" fillId="4" borderId="15" xfId="0" applyFont="1" applyFill="1" applyBorder="1" applyAlignment="1">
      <alignment vertical="center"/>
    </xf>
    <xf numFmtId="0" fontId="3" fillId="4" borderId="16" xfId="0" applyFont="1" applyFill="1" applyBorder="1" applyAlignment="1">
      <alignment vertical="center"/>
    </xf>
    <xf numFmtId="0" fontId="3" fillId="4" borderId="17" xfId="0" applyFont="1" applyFill="1" applyBorder="1" applyAlignment="1">
      <alignment vertical="center"/>
    </xf>
    <xf numFmtId="0" fontId="3" fillId="4" borderId="20" xfId="0" applyFont="1" applyFill="1" applyBorder="1" applyAlignment="1" applyProtection="1" quotePrefix="1">
      <alignment horizontal="left" vertical="center"/>
      <protection locked="0"/>
    </xf>
    <xf numFmtId="0" fontId="3" fillId="4" borderId="20" xfId="0" applyFont="1" applyFill="1" applyBorder="1" applyAlignment="1" applyProtection="1">
      <alignment horizontal="center" vertical="center"/>
      <protection locked="0"/>
    </xf>
    <xf numFmtId="0" fontId="3" fillId="4" borderId="21" xfId="0" applyFont="1" applyFill="1" applyBorder="1" applyAlignment="1" applyProtection="1">
      <alignment vertical="center"/>
      <protection locked="0"/>
    </xf>
    <xf numFmtId="0" fontId="3" fillId="4" borderId="21" xfId="0" applyFont="1" applyFill="1" applyBorder="1" applyAlignment="1" applyProtection="1">
      <alignment horizontal="center" vertical="center"/>
      <protection locked="0"/>
    </xf>
    <xf numFmtId="0" fontId="3" fillId="4" borderId="21" xfId="0" applyFont="1" applyFill="1" applyBorder="1" applyAlignment="1" applyProtection="1" quotePrefix="1">
      <alignment horizontal="left" vertical="center"/>
      <protection locked="0"/>
    </xf>
    <xf numFmtId="0" fontId="3" fillId="4" borderId="21" xfId="0" applyFont="1" applyFill="1" applyBorder="1" applyAlignment="1" applyProtection="1" quotePrefix="1">
      <alignment horizontal="center" vertical="center"/>
      <protection locked="0"/>
    </xf>
    <xf numFmtId="0" fontId="3" fillId="4" borderId="22" xfId="0" applyFont="1" applyFill="1" applyBorder="1" applyAlignment="1" applyProtection="1">
      <alignment vertical="center"/>
      <protection locked="0"/>
    </xf>
    <xf numFmtId="0" fontId="3" fillId="4" borderId="22"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3" fillId="4" borderId="21" xfId="0" applyFont="1" applyFill="1" applyBorder="1" applyAlignment="1" applyProtection="1">
      <alignment horizontal="left" vertical="center"/>
      <protection locked="0"/>
    </xf>
    <xf numFmtId="0" fontId="4" fillId="4" borderId="22"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178" fontId="3" fillId="0" borderId="0" xfId="0" applyNumberFormat="1" applyFont="1" applyAlignment="1">
      <alignment vertical="center"/>
    </xf>
    <xf numFmtId="178" fontId="3" fillId="0" borderId="0" xfId="0" applyNumberFormat="1" applyFont="1" applyAlignment="1">
      <alignment vertical="center"/>
    </xf>
    <xf numFmtId="178" fontId="3" fillId="0" borderId="12" xfId="0" applyNumberFormat="1" applyFont="1" applyBorder="1" applyAlignment="1">
      <alignment vertical="center"/>
    </xf>
    <xf numFmtId="178" fontId="3" fillId="0" borderId="18" xfId="0" applyNumberFormat="1" applyFont="1" applyBorder="1" applyAlignment="1">
      <alignment vertical="center"/>
    </xf>
    <xf numFmtId="178" fontId="3" fillId="0" borderId="13" xfId="0" applyNumberFormat="1" applyFont="1" applyBorder="1" applyAlignment="1">
      <alignment vertical="center"/>
    </xf>
    <xf numFmtId="178" fontId="3" fillId="0" borderId="14" xfId="0" applyNumberFormat="1" applyFont="1" applyBorder="1" applyAlignment="1">
      <alignment vertical="center"/>
    </xf>
    <xf numFmtId="178" fontId="3" fillId="0" borderId="0" xfId="0" applyNumberFormat="1" applyFont="1" applyBorder="1" applyAlignment="1">
      <alignment vertical="center"/>
    </xf>
    <xf numFmtId="178" fontId="3" fillId="0" borderId="15" xfId="0" applyNumberFormat="1" applyFont="1" applyBorder="1" applyAlignment="1">
      <alignment vertical="center"/>
    </xf>
    <xf numFmtId="178" fontId="3" fillId="0" borderId="16" xfId="0" applyNumberFormat="1" applyFont="1" applyBorder="1" applyAlignment="1">
      <alignment vertical="center"/>
    </xf>
    <xf numFmtId="178" fontId="3" fillId="0" borderId="19" xfId="0" applyNumberFormat="1" applyFont="1" applyBorder="1" applyAlignment="1">
      <alignment vertical="center"/>
    </xf>
    <xf numFmtId="178" fontId="3" fillId="0" borderId="17" xfId="0" applyNumberFormat="1" applyFont="1" applyBorder="1" applyAlignment="1">
      <alignment vertical="center"/>
    </xf>
    <xf numFmtId="0" fontId="4" fillId="30" borderId="0" xfId="0" applyFont="1" applyFill="1" applyBorder="1" applyAlignment="1" applyProtection="1">
      <alignment vertical="center"/>
      <protection locked="0"/>
    </xf>
    <xf numFmtId="0" fontId="4" fillId="30" borderId="24" xfId="0" applyFont="1" applyFill="1" applyBorder="1" applyAlignment="1" applyProtection="1">
      <alignment vertical="center"/>
      <protection locked="0"/>
    </xf>
    <xf numFmtId="0" fontId="4" fillId="30" borderId="25" xfId="0" applyFont="1" applyFill="1" applyBorder="1" applyAlignment="1" applyProtection="1">
      <alignment vertical="center"/>
      <protection locked="0"/>
    </xf>
    <xf numFmtId="178" fontId="3" fillId="30" borderId="26" xfId="0" applyNumberFormat="1" applyFont="1" applyFill="1" applyBorder="1" applyAlignment="1" applyProtection="1">
      <alignment vertical="center"/>
      <protection/>
    </xf>
    <xf numFmtId="178" fontId="3" fillId="30" borderId="27" xfId="0" applyNumberFormat="1" applyFont="1" applyFill="1" applyBorder="1" applyAlignment="1" applyProtection="1">
      <alignment vertical="center"/>
      <protection/>
    </xf>
    <xf numFmtId="178" fontId="3" fillId="30" borderId="28" xfId="0" applyNumberFormat="1" applyFont="1" applyFill="1" applyBorder="1" applyAlignment="1" applyProtection="1">
      <alignment vertical="center"/>
      <protection/>
    </xf>
    <xf numFmtId="0" fontId="4" fillId="30" borderId="29" xfId="0" applyFont="1" applyFill="1" applyBorder="1" applyAlignment="1" applyProtection="1">
      <alignment horizontal="center" vertical="center"/>
      <protection locked="0"/>
    </xf>
    <xf numFmtId="0" fontId="4" fillId="30" borderId="30" xfId="0" applyFont="1" applyFill="1" applyBorder="1" applyAlignment="1" applyProtection="1">
      <alignment vertical="center"/>
      <protection locked="0"/>
    </xf>
    <xf numFmtId="0" fontId="4" fillId="30" borderId="31" xfId="0" applyFont="1" applyFill="1" applyBorder="1" applyAlignment="1" applyProtection="1">
      <alignment vertical="center"/>
      <protection locked="0"/>
    </xf>
    <xf numFmtId="0" fontId="4" fillId="30" borderId="32" xfId="0" applyFont="1" applyFill="1" applyBorder="1" applyAlignment="1" applyProtection="1">
      <alignment vertical="center"/>
      <protection locked="0"/>
    </xf>
    <xf numFmtId="176" fontId="4" fillId="30" borderId="33" xfId="0" applyNumberFormat="1" applyFont="1" applyFill="1" applyBorder="1" applyAlignment="1" applyProtection="1" quotePrefix="1">
      <alignment horizontal="left" vertical="center"/>
      <protection locked="0"/>
    </xf>
    <xf numFmtId="176" fontId="4" fillId="30" borderId="33" xfId="0" applyNumberFormat="1" applyFont="1" applyFill="1" applyBorder="1" applyAlignment="1" applyProtection="1" quotePrefix="1">
      <alignment horizontal="left" vertical="center" wrapText="1"/>
      <protection locked="0"/>
    </xf>
    <xf numFmtId="176" fontId="6" fillId="30" borderId="34" xfId="0" applyNumberFormat="1" applyFont="1" applyFill="1" applyBorder="1" applyAlignment="1" applyProtection="1" quotePrefix="1">
      <alignment horizontal="left" vertical="center"/>
      <protection locked="0"/>
    </xf>
    <xf numFmtId="176" fontId="6" fillId="30" borderId="35" xfId="0" applyNumberFormat="1" applyFont="1" applyFill="1" applyBorder="1" applyAlignment="1" applyProtection="1">
      <alignment vertical="center"/>
      <protection locked="0"/>
    </xf>
    <xf numFmtId="176" fontId="6" fillId="30" borderId="35" xfId="0" applyNumberFormat="1" applyFont="1" applyFill="1" applyBorder="1" applyAlignment="1" applyProtection="1" quotePrefix="1">
      <alignment horizontal="left" vertical="center" wrapText="1"/>
      <protection locked="0"/>
    </xf>
    <xf numFmtId="176" fontId="6" fillId="30" borderId="34" xfId="0" applyNumberFormat="1" applyFont="1" applyFill="1" applyBorder="1" applyAlignment="1" applyProtection="1">
      <alignment vertical="center"/>
      <protection locked="0"/>
    </xf>
    <xf numFmtId="176" fontId="6" fillId="30" borderId="36" xfId="0" applyNumberFormat="1" applyFont="1" applyFill="1" applyBorder="1" applyAlignment="1" applyProtection="1">
      <alignment vertical="center"/>
      <protection locked="0"/>
    </xf>
    <xf numFmtId="176" fontId="6" fillId="30" borderId="33" xfId="0" applyNumberFormat="1" applyFont="1" applyFill="1" applyBorder="1" applyAlignment="1" applyProtection="1">
      <alignment vertical="center"/>
      <protection locked="0"/>
    </xf>
    <xf numFmtId="176" fontId="6" fillId="30" borderId="33" xfId="0" applyNumberFormat="1" applyFont="1" applyFill="1" applyBorder="1" applyAlignment="1" applyProtection="1" quotePrefix="1">
      <alignment horizontal="left" vertical="center"/>
      <protection locked="0"/>
    </xf>
    <xf numFmtId="176" fontId="6" fillId="30" borderId="37" xfId="0" applyNumberFormat="1" applyFont="1" applyFill="1" applyBorder="1" applyAlignment="1" applyProtection="1">
      <alignment vertical="center"/>
      <protection locked="0"/>
    </xf>
    <xf numFmtId="0" fontId="4" fillId="30" borderId="38" xfId="0" applyFont="1" applyFill="1" applyBorder="1" applyAlignment="1" applyProtection="1">
      <alignment vertical="center"/>
      <protection locked="0"/>
    </xf>
    <xf numFmtId="176" fontId="4" fillId="30" borderId="39" xfId="0" applyNumberFormat="1" applyFont="1" applyFill="1" applyBorder="1" applyAlignment="1" applyProtection="1">
      <alignment vertical="center"/>
      <protection locked="0"/>
    </xf>
    <xf numFmtId="176" fontId="6" fillId="30" borderId="40" xfId="0" applyNumberFormat="1" applyFont="1" applyFill="1" applyBorder="1" applyAlignment="1" applyProtection="1" quotePrefix="1">
      <alignment horizontal="left" vertical="center" wrapText="1"/>
      <protection locked="0"/>
    </xf>
    <xf numFmtId="0" fontId="3" fillId="4" borderId="33" xfId="0" applyFont="1" applyFill="1" applyBorder="1" applyAlignment="1" applyProtection="1">
      <alignment horizontal="center" vertical="center"/>
      <protection locked="0"/>
    </xf>
    <xf numFmtId="0" fontId="4" fillId="30" borderId="41" xfId="0" applyFont="1" applyFill="1" applyBorder="1" applyAlignment="1" applyProtection="1">
      <alignment horizontal="center" vertical="center"/>
      <protection locked="0"/>
    </xf>
    <xf numFmtId="0" fontId="4" fillId="30" borderId="0" xfId="0" applyFont="1" applyFill="1" applyAlignment="1" applyProtection="1" quotePrefix="1">
      <alignment horizontal="right" vertical="center"/>
      <protection locked="0"/>
    </xf>
    <xf numFmtId="0" fontId="4" fillId="4" borderId="20" xfId="0" applyFont="1" applyFill="1" applyBorder="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locked="0"/>
    </xf>
    <xf numFmtId="0" fontId="4" fillId="4" borderId="22" xfId="0" applyFont="1" applyFill="1" applyBorder="1" applyAlignment="1" applyProtection="1" quotePrefix="1">
      <alignment horizontal="left" vertical="center"/>
      <protection locked="0"/>
    </xf>
    <xf numFmtId="176" fontId="6" fillId="30" borderId="42" xfId="0" applyNumberFormat="1" applyFont="1" applyFill="1" applyBorder="1" applyAlignment="1" applyProtection="1">
      <alignment vertical="top" wrapText="1"/>
      <protection locked="0"/>
    </xf>
    <xf numFmtId="176" fontId="6" fillId="30" borderId="43" xfId="0" applyNumberFormat="1" applyFont="1" applyFill="1" applyBorder="1" applyAlignment="1" applyProtection="1" quotePrefix="1">
      <alignment horizontal="left" vertical="center" wrapText="1"/>
      <protection locked="0"/>
    </xf>
    <xf numFmtId="176" fontId="6" fillId="30" borderId="43" xfId="0" applyNumberFormat="1" applyFont="1" applyFill="1" applyBorder="1" applyAlignment="1" applyProtection="1">
      <alignment vertical="center" wrapText="1"/>
      <protection locked="0"/>
    </xf>
    <xf numFmtId="0" fontId="4" fillId="30" borderId="44" xfId="0" applyFont="1" applyFill="1" applyBorder="1" applyAlignment="1" applyProtection="1" quotePrefix="1">
      <alignment horizontal="right" vertical="center"/>
      <protection locked="0"/>
    </xf>
    <xf numFmtId="0" fontId="4" fillId="30" borderId="45" xfId="0" applyFont="1" applyFill="1" applyBorder="1" applyAlignment="1" applyProtection="1" quotePrefix="1">
      <alignment horizontal="right" vertical="center"/>
      <protection locked="0"/>
    </xf>
    <xf numFmtId="0" fontId="4" fillId="4" borderId="21" xfId="0" applyFont="1" applyFill="1" applyBorder="1" applyAlignment="1" applyProtection="1" quotePrefix="1">
      <alignment horizontal="left" vertical="center"/>
      <protection locked="0"/>
    </xf>
    <xf numFmtId="0" fontId="4" fillId="4" borderId="22" xfId="0" applyFont="1" applyFill="1" applyBorder="1" applyAlignment="1" applyProtection="1">
      <alignment vertical="center"/>
      <protection locked="0"/>
    </xf>
    <xf numFmtId="177" fontId="3" fillId="30" borderId="46" xfId="0" applyNumberFormat="1" applyFont="1" applyFill="1" applyBorder="1" applyAlignment="1" applyProtection="1">
      <alignment vertical="center"/>
      <protection/>
    </xf>
    <xf numFmtId="177" fontId="3" fillId="30" borderId="47" xfId="0" applyNumberFormat="1" applyFont="1" applyFill="1" applyBorder="1" applyAlignment="1" applyProtection="1">
      <alignment vertical="center"/>
      <protection/>
    </xf>
    <xf numFmtId="0" fontId="7" fillId="30" borderId="0" xfId="0" applyFont="1" applyFill="1" applyAlignment="1" applyProtection="1" quotePrefix="1">
      <alignment horizontal="left" vertical="center"/>
      <protection locked="0"/>
    </xf>
    <xf numFmtId="0" fontId="4" fillId="30" borderId="48" xfId="0" applyFont="1" applyFill="1" applyBorder="1" applyAlignment="1" applyProtection="1">
      <alignment vertical="center"/>
      <protection locked="0"/>
    </xf>
    <xf numFmtId="0" fontId="4" fillId="30" borderId="49" xfId="0" applyFont="1" applyFill="1" applyBorder="1" applyAlignment="1" applyProtection="1">
      <alignment vertical="center"/>
      <protection locked="0"/>
    </xf>
    <xf numFmtId="0" fontId="4" fillId="30" borderId="50" xfId="0" applyFont="1" applyFill="1" applyBorder="1" applyAlignment="1" applyProtection="1">
      <alignment vertical="center"/>
      <protection locked="0"/>
    </xf>
    <xf numFmtId="0" fontId="4" fillId="30" borderId="49" xfId="0" applyFont="1" applyFill="1" applyBorder="1" applyAlignment="1" applyProtection="1" quotePrefix="1">
      <alignment horizontal="right" vertical="center"/>
      <protection locked="0"/>
    </xf>
    <xf numFmtId="0" fontId="4" fillId="30" borderId="51" xfId="0" applyFont="1" applyFill="1" applyBorder="1" applyAlignment="1" applyProtection="1">
      <alignment horizontal="center" vertical="center"/>
      <protection locked="0"/>
    </xf>
    <xf numFmtId="0" fontId="4" fillId="30" borderId="52" xfId="0" applyFont="1" applyFill="1" applyBorder="1" applyAlignment="1" applyProtection="1">
      <alignment vertical="center"/>
      <protection locked="0"/>
    </xf>
    <xf numFmtId="0" fontId="4" fillId="30" borderId="52" xfId="0" applyFont="1" applyFill="1" applyBorder="1" applyAlignment="1" applyProtection="1" quotePrefix="1">
      <alignment horizontal="right" vertical="center"/>
      <protection locked="0"/>
    </xf>
    <xf numFmtId="178" fontId="3" fillId="30" borderId="53" xfId="0" applyNumberFormat="1" applyFont="1" applyFill="1" applyBorder="1" applyAlignment="1" applyProtection="1">
      <alignment vertical="center"/>
      <protection/>
    </xf>
    <xf numFmtId="0" fontId="6" fillId="30" borderId="43" xfId="0" applyNumberFormat="1" applyFont="1" applyFill="1" applyBorder="1" applyAlignment="1" applyProtection="1" quotePrefix="1">
      <alignment vertical="center"/>
      <protection locked="0"/>
    </xf>
    <xf numFmtId="0" fontId="6" fillId="30" borderId="43" xfId="0" applyNumberFormat="1" applyFont="1" applyFill="1" applyBorder="1" applyAlignment="1" applyProtection="1">
      <alignment vertical="center"/>
      <protection locked="0"/>
    </xf>
    <xf numFmtId="0" fontId="3" fillId="30" borderId="44" xfId="0" applyNumberFormat="1" applyFont="1" applyFill="1" applyBorder="1" applyAlignment="1" applyProtection="1">
      <alignment vertical="center"/>
      <protection locked="0"/>
    </xf>
    <xf numFmtId="0" fontId="3" fillId="30" borderId="28" xfId="0" applyNumberFormat="1" applyFont="1" applyFill="1" applyBorder="1" applyAlignment="1" applyProtection="1">
      <alignment vertical="center"/>
      <protection locked="0"/>
    </xf>
    <xf numFmtId="0" fontId="4" fillId="4" borderId="0" xfId="0" applyFont="1" applyFill="1" applyAlignment="1" applyProtection="1" quotePrefix="1">
      <alignment horizontal="left" vertical="center"/>
      <protection locked="0"/>
    </xf>
    <xf numFmtId="177" fontId="3" fillId="30" borderId="54" xfId="0" applyNumberFormat="1" applyFont="1" applyFill="1" applyBorder="1" applyAlignment="1" applyProtection="1">
      <alignment vertical="center"/>
      <protection/>
    </xf>
    <xf numFmtId="0" fontId="4" fillId="30" borderId="0" xfId="0" applyFont="1" applyFill="1" applyAlignment="1" applyProtection="1" quotePrefix="1">
      <alignment vertical="center"/>
      <protection locked="0"/>
    </xf>
    <xf numFmtId="0" fontId="4" fillId="30" borderId="0" xfId="0" applyFont="1" applyFill="1" applyAlignment="1" applyProtection="1">
      <alignment vertical="center"/>
      <protection locked="0"/>
    </xf>
    <xf numFmtId="0" fontId="3" fillId="4" borderId="22" xfId="0" applyFont="1" applyFill="1" applyBorder="1" applyAlignment="1" applyProtection="1" quotePrefix="1">
      <alignment horizontal="left" vertical="center"/>
      <protection locked="0"/>
    </xf>
    <xf numFmtId="0" fontId="4" fillId="4" borderId="20" xfId="0" applyFont="1" applyFill="1" applyBorder="1" applyAlignment="1" applyProtection="1" quotePrefix="1">
      <alignment horizontal="left" vertical="center"/>
      <protection locked="0"/>
    </xf>
    <xf numFmtId="0" fontId="4" fillId="4" borderId="22" xfId="0" applyFont="1" applyFill="1" applyBorder="1" applyAlignment="1" applyProtection="1">
      <alignment horizontal="left" vertical="center"/>
      <protection locked="0"/>
    </xf>
    <xf numFmtId="0" fontId="4" fillId="30" borderId="55" xfId="0" applyFont="1" applyFill="1" applyBorder="1" applyAlignment="1" applyProtection="1" quotePrefix="1">
      <alignment horizontal="center" vertical="center"/>
      <protection locked="0"/>
    </xf>
    <xf numFmtId="180" fontId="4" fillId="30" borderId="56" xfId="0" applyNumberFormat="1" applyFont="1" applyFill="1" applyBorder="1" applyAlignment="1" applyProtection="1">
      <alignment horizontal="left" vertical="center"/>
      <protection locked="0"/>
    </xf>
    <xf numFmtId="0" fontId="4" fillId="30" borderId="56" xfId="0" applyFont="1" applyFill="1" applyBorder="1" applyAlignment="1" applyProtection="1">
      <alignment vertical="center"/>
      <protection locked="0"/>
    </xf>
    <xf numFmtId="0" fontId="4" fillId="30" borderId="57" xfId="0" applyFont="1" applyFill="1" applyBorder="1" applyAlignment="1" applyProtection="1">
      <alignment vertical="center"/>
      <protection locked="0"/>
    </xf>
    <xf numFmtId="176" fontId="4" fillId="30" borderId="56" xfId="0" applyNumberFormat="1" applyFont="1" applyFill="1" applyBorder="1" applyAlignment="1" applyProtection="1">
      <alignment vertical="center"/>
      <protection locked="0"/>
    </xf>
    <xf numFmtId="0" fontId="4" fillId="30" borderId="57" xfId="0" applyFont="1" applyFill="1" applyBorder="1" applyAlignment="1" applyProtection="1" quotePrefix="1">
      <alignment horizontal="right" vertical="center"/>
      <protection locked="0"/>
    </xf>
    <xf numFmtId="177" fontId="3" fillId="31" borderId="58" xfId="0" applyNumberFormat="1" applyFont="1" applyFill="1" applyBorder="1" applyAlignment="1" applyProtection="1">
      <alignment vertical="center"/>
      <protection/>
    </xf>
    <xf numFmtId="177" fontId="3" fillId="31" borderId="59" xfId="0" applyNumberFormat="1" applyFont="1" applyFill="1" applyBorder="1" applyAlignment="1" applyProtection="1">
      <alignment vertical="center"/>
      <protection/>
    </xf>
    <xf numFmtId="177" fontId="3" fillId="31" borderId="60" xfId="0" applyNumberFormat="1" applyFont="1" applyFill="1" applyBorder="1" applyAlignment="1" applyProtection="1">
      <alignment vertical="center"/>
      <protection/>
    </xf>
    <xf numFmtId="177" fontId="3" fillId="31" borderId="61" xfId="0" applyNumberFormat="1" applyFont="1" applyFill="1" applyBorder="1" applyAlignment="1" applyProtection="1">
      <alignment vertical="center"/>
      <protection/>
    </xf>
    <xf numFmtId="177" fontId="3" fillId="31" borderId="62" xfId="0" applyNumberFormat="1" applyFont="1" applyFill="1" applyBorder="1" applyAlignment="1" applyProtection="1">
      <alignment vertical="center"/>
      <protection/>
    </xf>
    <xf numFmtId="177" fontId="3" fillId="31" borderId="63" xfId="0" applyNumberFormat="1" applyFont="1" applyFill="1" applyBorder="1" applyAlignment="1" applyProtection="1">
      <alignment vertical="center"/>
      <protection/>
    </xf>
    <xf numFmtId="177" fontId="3" fillId="31" borderId="64" xfId="0" applyNumberFormat="1" applyFont="1" applyFill="1" applyBorder="1" applyAlignment="1" applyProtection="1">
      <alignment vertical="center"/>
      <protection/>
    </xf>
    <xf numFmtId="0" fontId="4" fillId="30" borderId="57" xfId="0" applyFont="1" applyFill="1" applyBorder="1" applyAlignment="1" applyProtection="1">
      <alignment vertical="center"/>
      <protection locked="0"/>
    </xf>
    <xf numFmtId="0" fontId="4" fillId="30" borderId="56" xfId="0" applyFont="1" applyFill="1" applyBorder="1" applyAlignment="1" applyProtection="1">
      <alignment vertical="center"/>
      <protection locked="0"/>
    </xf>
    <xf numFmtId="0" fontId="5" fillId="32" borderId="65" xfId="0" applyFont="1" applyFill="1" applyBorder="1" applyAlignment="1" applyProtection="1">
      <alignment horizontal="center" vertical="center"/>
      <protection locked="0"/>
    </xf>
    <xf numFmtId="5" fontId="5" fillId="32" borderId="66" xfId="0" applyNumberFormat="1" applyFont="1" applyFill="1" applyBorder="1" applyAlignment="1" applyProtection="1">
      <alignment horizontal="center" vertical="center"/>
      <protection locked="0"/>
    </xf>
    <xf numFmtId="0" fontId="4" fillId="30" borderId="64" xfId="0" applyFont="1" applyFill="1" applyBorder="1" applyAlignment="1" quotePrefix="1">
      <alignment horizontal="center" vertical="center"/>
    </xf>
    <xf numFmtId="0" fontId="4" fillId="30" borderId="67" xfId="0" applyFont="1" applyFill="1" applyBorder="1" applyAlignment="1" quotePrefix="1">
      <alignment horizontal="center" vertical="center"/>
    </xf>
    <xf numFmtId="0" fontId="4" fillId="4" borderId="19" xfId="0" applyFont="1" applyFill="1" applyBorder="1" applyAlignment="1" applyProtection="1">
      <alignment vertical="center"/>
      <protection locked="0"/>
    </xf>
    <xf numFmtId="0" fontId="4" fillId="30" borderId="20" xfId="0" applyFont="1" applyFill="1" applyBorder="1" applyAlignment="1" applyProtection="1">
      <alignment horizontal="center" vertical="center"/>
      <protection locked="0"/>
    </xf>
    <xf numFmtId="0" fontId="4" fillId="30" borderId="21" xfId="0" applyFont="1" applyFill="1" applyBorder="1" applyAlignment="1" applyProtection="1">
      <alignment horizontal="center" vertical="center"/>
      <protection locked="0"/>
    </xf>
    <xf numFmtId="0" fontId="4" fillId="30" borderId="22" xfId="0" applyFont="1" applyFill="1" applyBorder="1" applyAlignment="1" applyProtection="1">
      <alignment horizontal="center" vertical="center"/>
      <protection locked="0"/>
    </xf>
    <xf numFmtId="0" fontId="4" fillId="30" borderId="21" xfId="0" applyFont="1" applyFill="1" applyBorder="1" applyAlignment="1" applyProtection="1" quotePrefix="1">
      <alignment horizontal="center" vertical="center"/>
      <protection locked="0"/>
    </xf>
    <xf numFmtId="0" fontId="3" fillId="0" borderId="12"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4" fillId="4" borderId="23"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18" xfId="0" applyFont="1" applyFill="1" applyBorder="1" applyAlignment="1" applyProtection="1">
      <alignment vertical="center"/>
      <protection locked="0"/>
    </xf>
    <xf numFmtId="0" fontId="4" fillId="4" borderId="13"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15"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5" fontId="11" fillId="31" borderId="10" xfId="0" applyNumberFormat="1" applyFont="1" applyFill="1" applyBorder="1" applyAlignment="1" applyProtection="1">
      <alignment vertical="center"/>
      <protection/>
    </xf>
    <xf numFmtId="5" fontId="11" fillId="31" borderId="11" xfId="0" applyNumberFormat="1" applyFont="1" applyFill="1" applyBorder="1" applyAlignment="1" applyProtection="1">
      <alignment vertical="center"/>
      <protection/>
    </xf>
    <xf numFmtId="5" fontId="11" fillId="31" borderId="41" xfId="0" applyNumberFormat="1" applyFont="1" applyFill="1" applyBorder="1" applyAlignment="1" applyProtection="1">
      <alignment vertical="center"/>
      <protection/>
    </xf>
    <xf numFmtId="5" fontId="11" fillId="31" borderId="67" xfId="0" applyNumberFormat="1" applyFont="1" applyFill="1" applyBorder="1" applyAlignment="1" applyProtection="1">
      <alignment vertical="center"/>
      <protection/>
    </xf>
    <xf numFmtId="5" fontId="11" fillId="31" borderId="68" xfId="0" applyNumberFormat="1" applyFont="1" applyFill="1" applyBorder="1" applyAlignment="1" applyProtection="1">
      <alignment vertical="center"/>
      <protection/>
    </xf>
    <xf numFmtId="0" fontId="5" fillId="32" borderId="23" xfId="0" applyFont="1" applyFill="1" applyBorder="1" applyAlignment="1" applyProtection="1">
      <alignment horizontal="center" vertical="center"/>
      <protection locked="0"/>
    </xf>
    <xf numFmtId="178" fontId="3" fillId="31" borderId="62" xfId="0" applyNumberFormat="1" applyFont="1" applyFill="1" applyBorder="1" applyAlignment="1" applyProtection="1">
      <alignment vertical="center"/>
      <protection/>
    </xf>
    <xf numFmtId="178" fontId="3" fillId="31" borderId="63" xfId="0" applyNumberFormat="1" applyFont="1" applyFill="1" applyBorder="1" applyAlignment="1" applyProtection="1">
      <alignment vertical="center"/>
      <protection/>
    </xf>
    <xf numFmtId="178" fontId="3" fillId="31" borderId="69" xfId="0" applyNumberFormat="1" applyFont="1" applyFill="1" applyBorder="1" applyAlignment="1" applyProtection="1">
      <alignment vertical="center"/>
      <protection/>
    </xf>
    <xf numFmtId="178" fontId="3" fillId="31" borderId="64" xfId="0" applyNumberFormat="1" applyFont="1" applyFill="1" applyBorder="1" applyAlignment="1" applyProtection="1">
      <alignment vertical="center"/>
      <protection/>
    </xf>
    <xf numFmtId="0" fontId="4" fillId="30" borderId="0" xfId="0" applyNumberFormat="1" applyFont="1" applyFill="1" applyAlignment="1" applyProtection="1">
      <alignment vertical="center"/>
      <protection locked="0"/>
    </xf>
    <xf numFmtId="0" fontId="4" fillId="30" borderId="0" xfId="0" applyFont="1" applyFill="1" applyAlignment="1" applyProtection="1">
      <alignment horizontal="right" vertical="center"/>
      <protection locked="0"/>
    </xf>
    <xf numFmtId="0" fontId="12" fillId="30" borderId="0" xfId="0" applyFont="1" applyFill="1" applyAlignment="1" applyProtection="1" quotePrefix="1">
      <alignment horizontal="left" vertical="center"/>
      <protection locked="0"/>
    </xf>
    <xf numFmtId="0" fontId="15" fillId="27" borderId="0" xfId="62" applyNumberFormat="1" applyFont="1" applyFill="1" applyAlignment="1" applyProtection="1">
      <alignment vertical="center"/>
      <protection locked="0"/>
    </xf>
    <xf numFmtId="0" fontId="15" fillId="27" borderId="0" xfId="62" applyNumberFormat="1" applyFont="1" applyFill="1" applyAlignment="1" applyProtection="1">
      <alignment horizontal="center" vertical="center"/>
      <protection locked="0"/>
    </xf>
    <xf numFmtId="181" fontId="15" fillId="27" borderId="0" xfId="62" applyNumberFormat="1" applyFont="1" applyFill="1" applyAlignment="1" applyProtection="1">
      <alignment vertical="center"/>
      <protection locked="0"/>
    </xf>
    <xf numFmtId="0" fontId="16" fillId="30" borderId="65" xfId="62" applyNumberFormat="1" applyFont="1" applyFill="1" applyBorder="1" applyAlignment="1" applyProtection="1">
      <alignment horizontal="center" vertical="center"/>
      <protection locked="0"/>
    </xf>
    <xf numFmtId="0" fontId="16" fillId="30" borderId="60" xfId="62" applyNumberFormat="1" applyFont="1" applyFill="1" applyBorder="1" applyAlignment="1" applyProtection="1">
      <alignment horizontal="center" vertical="center"/>
      <protection locked="0"/>
    </xf>
    <xf numFmtId="0" fontId="16" fillId="30" borderId="61" xfId="62" applyNumberFormat="1" applyFont="1" applyFill="1" applyBorder="1" applyAlignment="1" applyProtection="1">
      <alignment horizontal="center" vertical="center"/>
      <protection locked="0"/>
    </xf>
    <xf numFmtId="180" fontId="17" fillId="30" borderId="11" xfId="62" applyNumberFormat="1" applyFont="1" applyFill="1" applyBorder="1" applyAlignment="1" applyProtection="1">
      <alignment horizontal="center" vertical="center"/>
      <protection locked="0"/>
    </xf>
    <xf numFmtId="0" fontId="17" fillId="30" borderId="11" xfId="62" applyNumberFormat="1" applyFont="1" applyFill="1" applyBorder="1" applyAlignment="1" applyProtection="1">
      <alignment horizontal="center" vertical="center"/>
      <protection locked="0"/>
    </xf>
    <xf numFmtId="5" fontId="17" fillId="30" borderId="11" xfId="62" applyNumberFormat="1" applyFont="1" applyFill="1" applyBorder="1" applyAlignment="1" applyProtection="1">
      <alignment vertical="center"/>
      <protection locked="0"/>
    </xf>
    <xf numFmtId="0" fontId="16" fillId="30" borderId="60" xfId="62" applyNumberFormat="1" applyFont="1" applyFill="1" applyBorder="1" applyAlignment="1" applyProtection="1" quotePrefix="1">
      <alignment horizontal="center" vertical="center"/>
      <protection locked="0"/>
    </xf>
    <xf numFmtId="180" fontId="17" fillId="30" borderId="70" xfId="62" applyNumberFormat="1" applyFont="1" applyFill="1" applyBorder="1" applyAlignment="1" applyProtection="1">
      <alignment horizontal="center" vertical="center"/>
      <protection locked="0"/>
    </xf>
    <xf numFmtId="0" fontId="17" fillId="30" borderId="70" xfId="62" applyNumberFormat="1" applyFont="1" applyFill="1" applyBorder="1" applyAlignment="1" applyProtection="1">
      <alignment horizontal="center" vertical="center"/>
      <protection locked="0"/>
    </xf>
    <xf numFmtId="5" fontId="17" fillId="30" borderId="70" xfId="62" applyNumberFormat="1" applyFont="1" applyFill="1" applyBorder="1" applyAlignment="1" applyProtection="1">
      <alignment vertical="center"/>
      <protection locked="0"/>
    </xf>
    <xf numFmtId="41" fontId="17" fillId="30" borderId="70" xfId="62" applyNumberFormat="1" applyFont="1" applyFill="1" applyBorder="1" applyAlignment="1" applyProtection="1">
      <alignment vertical="center" wrapText="1"/>
      <protection locked="0"/>
    </xf>
    <xf numFmtId="41" fontId="17" fillId="30" borderId="11" xfId="62" applyNumberFormat="1" applyFont="1" applyFill="1" applyBorder="1" applyAlignment="1" applyProtection="1">
      <alignment vertical="center" wrapText="1"/>
      <protection locked="0"/>
    </xf>
    <xf numFmtId="0" fontId="17" fillId="30" borderId="71" xfId="62" applyNumberFormat="1" applyFont="1" applyFill="1" applyBorder="1" applyAlignment="1" applyProtection="1">
      <alignment vertical="center"/>
      <protection locked="0"/>
    </xf>
    <xf numFmtId="0" fontId="17" fillId="30" borderId="67" xfId="62" applyNumberFormat="1" applyFont="1" applyFill="1" applyBorder="1" applyAlignment="1" applyProtection="1">
      <alignment vertical="center"/>
      <protection locked="0"/>
    </xf>
    <xf numFmtId="0" fontId="15" fillId="30" borderId="72" xfId="62" applyNumberFormat="1" applyFont="1" applyFill="1" applyBorder="1" applyAlignment="1" applyProtection="1">
      <alignment horizontal="center" vertical="center"/>
      <protection locked="0"/>
    </xf>
    <xf numFmtId="0" fontId="15" fillId="30" borderId="10" xfId="62" applyNumberFormat="1" applyFont="1" applyFill="1" applyBorder="1" applyAlignment="1" applyProtection="1">
      <alignment horizontal="center" vertical="center"/>
      <protection locked="0"/>
    </xf>
    <xf numFmtId="193" fontId="17" fillId="30" borderId="70" xfId="62" applyNumberFormat="1" applyFont="1" applyFill="1" applyBorder="1" applyAlignment="1" applyProtection="1">
      <alignment vertical="center"/>
      <protection locked="0"/>
    </xf>
    <xf numFmtId="193" fontId="17" fillId="30" borderId="11" xfId="62" applyNumberFormat="1" applyFont="1" applyFill="1" applyBorder="1" applyAlignment="1" applyProtection="1">
      <alignment vertical="center"/>
      <protection locked="0"/>
    </xf>
    <xf numFmtId="0" fontId="15" fillId="27" borderId="0" xfId="62" applyNumberFormat="1" applyFont="1" applyFill="1" applyAlignment="1" applyProtection="1" quotePrefix="1">
      <alignment horizontal="left" vertical="center"/>
      <protection locked="0"/>
    </xf>
    <xf numFmtId="177" fontId="3" fillId="30" borderId="73" xfId="0" applyNumberFormat="1" applyFont="1" applyFill="1" applyBorder="1" applyAlignment="1" applyProtection="1">
      <alignment vertical="center"/>
      <protection/>
    </xf>
    <xf numFmtId="0" fontId="4" fillId="30" borderId="74" xfId="0" applyFont="1" applyFill="1" applyBorder="1" applyAlignment="1" applyProtection="1" quotePrefix="1">
      <alignment horizontal="center" vertical="center"/>
      <protection locked="0"/>
    </xf>
    <xf numFmtId="0" fontId="20" fillId="32" borderId="75" xfId="0" applyFont="1" applyFill="1" applyBorder="1" applyAlignment="1" applyProtection="1">
      <alignment horizontal="center" vertical="center"/>
      <protection locked="0"/>
    </xf>
    <xf numFmtId="177" fontId="5" fillId="32" borderId="76" xfId="0" applyNumberFormat="1" applyFont="1" applyFill="1" applyBorder="1" applyAlignment="1" applyProtection="1">
      <alignment vertical="center"/>
      <protection locked="0"/>
    </xf>
    <xf numFmtId="177" fontId="5" fillId="32" borderId="77" xfId="0" applyNumberFormat="1" applyFont="1" applyFill="1" applyBorder="1" applyAlignment="1" applyProtection="1">
      <alignment vertical="center"/>
      <protection locked="0"/>
    </xf>
    <xf numFmtId="177" fontId="5" fillId="32" borderId="78" xfId="0" applyNumberFormat="1" applyFont="1" applyFill="1" applyBorder="1" applyAlignment="1" applyProtection="1">
      <alignment vertical="center"/>
      <protection locked="0"/>
    </xf>
    <xf numFmtId="177" fontId="5" fillId="32" borderId="79" xfId="0" applyNumberFormat="1" applyFont="1" applyFill="1" applyBorder="1" applyAlignment="1" applyProtection="1">
      <alignment vertical="center"/>
      <protection locked="0"/>
    </xf>
    <xf numFmtId="0" fontId="4" fillId="4" borderId="0" xfId="0" applyFont="1" applyFill="1" applyAlignment="1" applyProtection="1">
      <alignment horizontal="left" vertical="center"/>
      <protection locked="0"/>
    </xf>
    <xf numFmtId="0" fontId="20" fillId="32" borderId="80" xfId="0" applyFont="1" applyFill="1" applyBorder="1" applyAlignment="1" applyProtection="1">
      <alignment horizontal="center" vertical="center"/>
      <protection locked="0"/>
    </xf>
    <xf numFmtId="177" fontId="5" fillId="32" borderId="81" xfId="0" applyNumberFormat="1" applyFont="1" applyFill="1" applyBorder="1" applyAlignment="1" applyProtection="1">
      <alignment vertical="center"/>
      <protection locked="0"/>
    </xf>
    <xf numFmtId="177" fontId="5" fillId="32" borderId="82" xfId="0" applyNumberFormat="1" applyFont="1" applyFill="1" applyBorder="1" applyAlignment="1" applyProtection="1">
      <alignment vertical="center"/>
      <protection locked="0"/>
    </xf>
    <xf numFmtId="177" fontId="5" fillId="32" borderId="83" xfId="0" applyNumberFormat="1" applyFont="1" applyFill="1" applyBorder="1" applyAlignment="1" applyProtection="1">
      <alignment vertical="center"/>
      <protection locked="0"/>
    </xf>
    <xf numFmtId="177" fontId="5" fillId="32" borderId="84" xfId="0" applyNumberFormat="1" applyFont="1" applyFill="1" applyBorder="1" applyAlignment="1" applyProtection="1">
      <alignment vertical="center"/>
      <protection locked="0"/>
    </xf>
    <xf numFmtId="0" fontId="20" fillId="32" borderId="85" xfId="0" applyFont="1" applyFill="1" applyBorder="1" applyAlignment="1" applyProtection="1">
      <alignment horizontal="center" vertical="center"/>
      <protection locked="0"/>
    </xf>
    <xf numFmtId="177" fontId="5" fillId="32" borderId="86" xfId="0" applyNumberFormat="1" applyFont="1" applyFill="1" applyBorder="1" applyAlignment="1" applyProtection="1">
      <alignment vertical="center"/>
      <protection locked="0"/>
    </xf>
    <xf numFmtId="177" fontId="3" fillId="31" borderId="87" xfId="0" applyNumberFormat="1" applyFont="1" applyFill="1" applyBorder="1" applyAlignment="1" applyProtection="1">
      <alignment vertical="center"/>
      <protection/>
    </xf>
    <xf numFmtId="177" fontId="3" fillId="31" borderId="88" xfId="0" applyNumberFormat="1" applyFont="1" applyFill="1" applyBorder="1" applyAlignment="1" applyProtection="1">
      <alignment vertical="center"/>
      <protection/>
    </xf>
    <xf numFmtId="177" fontId="3" fillId="31" borderId="89" xfId="0" applyNumberFormat="1" applyFont="1" applyFill="1" applyBorder="1" applyAlignment="1" applyProtection="1">
      <alignment vertical="center"/>
      <protection/>
    </xf>
    <xf numFmtId="177" fontId="3" fillId="6" borderId="90" xfId="0" applyNumberFormat="1" applyFont="1" applyFill="1" applyBorder="1" applyAlignment="1" applyProtection="1">
      <alignment vertical="center"/>
      <protection/>
    </xf>
    <xf numFmtId="177" fontId="3" fillId="6" borderId="59" xfId="0" applyNumberFormat="1" applyFont="1" applyFill="1" applyBorder="1" applyAlignment="1" applyProtection="1">
      <alignment vertical="center"/>
      <protection/>
    </xf>
    <xf numFmtId="177" fontId="3" fillId="6" borderId="91" xfId="0" applyNumberFormat="1" applyFont="1" applyFill="1" applyBorder="1" applyAlignment="1" applyProtection="1">
      <alignment vertical="center"/>
      <protection/>
    </xf>
    <xf numFmtId="0" fontId="4" fillId="30" borderId="92" xfId="0" applyFont="1" applyFill="1" applyBorder="1" applyAlignment="1" applyProtection="1">
      <alignment horizontal="center" vertical="center"/>
      <protection locked="0"/>
    </xf>
    <xf numFmtId="0" fontId="5" fillId="32" borderId="93" xfId="0" applyFont="1" applyFill="1" applyBorder="1" applyAlignment="1" applyProtection="1">
      <alignment horizontal="center" vertical="center"/>
      <protection locked="0"/>
    </xf>
    <xf numFmtId="177" fontId="5" fillId="32" borderId="94" xfId="0" applyNumberFormat="1" applyFont="1" applyFill="1" applyBorder="1" applyAlignment="1" applyProtection="1">
      <alignment vertical="center"/>
      <protection locked="0"/>
    </xf>
    <xf numFmtId="177" fontId="5" fillId="32" borderId="95" xfId="0" applyNumberFormat="1" applyFont="1" applyFill="1" applyBorder="1" applyAlignment="1" applyProtection="1">
      <alignment vertical="center"/>
      <protection locked="0"/>
    </xf>
    <xf numFmtId="177" fontId="5" fillId="32" borderId="96" xfId="0" applyNumberFormat="1" applyFont="1" applyFill="1" applyBorder="1" applyAlignment="1" applyProtection="1">
      <alignment vertical="center"/>
      <protection locked="0"/>
    </xf>
    <xf numFmtId="177" fontId="5" fillId="32" borderId="97" xfId="0" applyNumberFormat="1" applyFont="1" applyFill="1" applyBorder="1" applyAlignment="1" applyProtection="1">
      <alignment vertical="center"/>
      <protection locked="0"/>
    </xf>
    <xf numFmtId="0" fontId="5" fillId="32" borderId="85" xfId="0" applyFont="1" applyFill="1" applyBorder="1" applyAlignment="1" applyProtection="1">
      <alignment horizontal="center" vertical="center"/>
      <protection locked="0"/>
    </xf>
    <xf numFmtId="177" fontId="5" fillId="32" borderId="98" xfId="0" applyNumberFormat="1" applyFont="1" applyFill="1" applyBorder="1" applyAlignment="1" applyProtection="1">
      <alignment vertical="center"/>
      <protection locked="0"/>
    </xf>
    <xf numFmtId="177" fontId="5" fillId="32" borderId="99" xfId="0" applyNumberFormat="1" applyFont="1" applyFill="1" applyBorder="1" applyAlignment="1" applyProtection="1">
      <alignment vertical="center"/>
      <protection locked="0"/>
    </xf>
    <xf numFmtId="177" fontId="5" fillId="32" borderId="100" xfId="0" applyNumberFormat="1" applyFont="1" applyFill="1" applyBorder="1" applyAlignment="1" applyProtection="1">
      <alignment vertical="center"/>
      <protection locked="0"/>
    </xf>
    <xf numFmtId="177" fontId="3" fillId="31" borderId="101" xfId="0" applyNumberFormat="1" applyFont="1" applyFill="1" applyBorder="1" applyAlignment="1" applyProtection="1">
      <alignment vertical="center"/>
      <protection/>
    </xf>
    <xf numFmtId="0" fontId="21" fillId="27" borderId="0" xfId="62" applyNumberFormat="1" applyFont="1" applyFill="1" applyAlignment="1" applyProtection="1">
      <alignment vertical="center"/>
      <protection locked="0"/>
    </xf>
    <xf numFmtId="0" fontId="21" fillId="27" borderId="0" xfId="62" applyNumberFormat="1" applyFont="1" applyFill="1" applyAlignment="1" applyProtection="1" quotePrefix="1">
      <alignment horizontal="left" vertical="center"/>
      <protection locked="0"/>
    </xf>
    <xf numFmtId="178" fontId="3" fillId="30" borderId="102" xfId="0" applyNumberFormat="1" applyFont="1" applyFill="1" applyBorder="1" applyAlignment="1" applyProtection="1">
      <alignment vertical="center"/>
      <protection/>
    </xf>
    <xf numFmtId="178" fontId="3" fillId="30" borderId="103" xfId="0" applyNumberFormat="1" applyFont="1" applyFill="1" applyBorder="1" applyAlignment="1" applyProtection="1">
      <alignment vertical="center"/>
      <protection/>
    </xf>
    <xf numFmtId="178" fontId="3" fillId="30" borderId="104" xfId="0" applyNumberFormat="1" applyFont="1" applyFill="1" applyBorder="1" applyAlignment="1" applyProtection="1">
      <alignment vertical="center"/>
      <protection/>
    </xf>
    <xf numFmtId="178" fontId="3" fillId="30" borderId="105" xfId="0" applyNumberFormat="1" applyFont="1" applyFill="1" applyBorder="1" applyAlignment="1" applyProtection="1">
      <alignment vertical="center"/>
      <protection/>
    </xf>
    <xf numFmtId="0" fontId="5" fillId="25" borderId="23" xfId="0" applyFont="1" applyFill="1" applyBorder="1" applyAlignment="1" applyProtection="1">
      <alignment horizontal="center" vertical="center"/>
      <protection locked="0"/>
    </xf>
    <xf numFmtId="177" fontId="3" fillId="31" borderId="106" xfId="0" applyNumberFormat="1" applyFont="1" applyFill="1" applyBorder="1" applyAlignment="1" applyProtection="1">
      <alignment vertical="center"/>
      <protection/>
    </xf>
    <xf numFmtId="177" fontId="3" fillId="31" borderId="69" xfId="0" applyNumberFormat="1" applyFont="1" applyFill="1" applyBorder="1" applyAlignment="1" applyProtection="1">
      <alignment vertical="center"/>
      <protection/>
    </xf>
    <xf numFmtId="0" fontId="4" fillId="30" borderId="23" xfId="0" applyFont="1" applyFill="1" applyBorder="1" applyAlignment="1" applyProtection="1">
      <alignment horizontal="center" vertical="center"/>
      <protection locked="0"/>
    </xf>
    <xf numFmtId="177" fontId="3" fillId="31" borderId="70" xfId="0" applyNumberFormat="1" applyFont="1" applyFill="1" applyBorder="1" applyAlignment="1" applyProtection="1">
      <alignment vertical="center"/>
      <protection/>
    </xf>
    <xf numFmtId="177" fontId="3" fillId="6" borderId="107" xfId="0" applyNumberFormat="1" applyFont="1" applyFill="1" applyBorder="1" applyAlignment="1" applyProtection="1">
      <alignment vertical="center"/>
      <protection/>
    </xf>
    <xf numFmtId="0" fontId="4" fillId="30" borderId="23" xfId="0" applyFont="1" applyFill="1" applyBorder="1" applyAlignment="1" applyProtection="1" quotePrefix="1">
      <alignment horizontal="center" vertical="center"/>
      <protection locked="0"/>
    </xf>
    <xf numFmtId="0" fontId="4" fillId="30" borderId="108" xfId="0" applyFont="1" applyFill="1" applyBorder="1" applyAlignment="1" applyProtection="1">
      <alignment horizontal="center" vertical="center"/>
      <protection locked="0"/>
    </xf>
    <xf numFmtId="0" fontId="4" fillId="30" borderId="109" xfId="0" applyFont="1" applyFill="1" applyBorder="1" applyAlignment="1" applyProtection="1">
      <alignment horizontal="center" vertical="center"/>
      <protection locked="0"/>
    </xf>
    <xf numFmtId="0" fontId="4" fillId="30" borderId="106" xfId="0" applyFont="1" applyFill="1" applyBorder="1" applyAlignment="1" applyProtection="1">
      <alignment horizontal="center" vertical="center"/>
      <protection locked="0"/>
    </xf>
    <xf numFmtId="0" fontId="4" fillId="30" borderId="55" xfId="0" applyFont="1" applyFill="1" applyBorder="1" applyAlignment="1" applyProtection="1">
      <alignment horizontal="center" vertical="center"/>
      <protection locked="0"/>
    </xf>
    <xf numFmtId="177" fontId="3" fillId="31" borderId="108" xfId="0" applyNumberFormat="1" applyFont="1" applyFill="1" applyBorder="1" applyAlignment="1" applyProtection="1">
      <alignment vertical="center"/>
      <protection/>
    </xf>
    <xf numFmtId="177" fontId="3" fillId="31" borderId="109" xfId="0" applyNumberFormat="1" applyFont="1" applyFill="1" applyBorder="1" applyAlignment="1" applyProtection="1">
      <alignment vertical="center"/>
      <protection/>
    </xf>
    <xf numFmtId="0" fontId="4" fillId="30" borderId="20" xfId="0" applyFont="1" applyFill="1" applyBorder="1" applyAlignment="1" applyProtection="1" quotePrefix="1">
      <alignment horizontal="center" vertical="center"/>
      <protection locked="0"/>
    </xf>
    <xf numFmtId="0" fontId="4" fillId="30" borderId="0" xfId="0" applyNumberFormat="1" applyFont="1" applyFill="1" applyAlignment="1" applyProtection="1" quotePrefix="1">
      <alignment horizontal="center" vertical="center"/>
      <protection locked="0"/>
    </xf>
    <xf numFmtId="177" fontId="3" fillId="31" borderId="23" xfId="0" applyNumberFormat="1" applyFont="1" applyFill="1" applyBorder="1" applyAlignment="1" applyProtection="1">
      <alignment vertical="center"/>
      <protection/>
    </xf>
    <xf numFmtId="0" fontId="3" fillId="30" borderId="18" xfId="0" applyFont="1" applyFill="1" applyBorder="1" applyAlignment="1" applyProtection="1">
      <alignment vertical="center"/>
      <protection locked="0"/>
    </xf>
    <xf numFmtId="0" fontId="3" fillId="30" borderId="18" xfId="0" applyFont="1" applyFill="1" applyBorder="1" applyAlignment="1" applyProtection="1" quotePrefix="1">
      <alignment vertical="center"/>
      <protection locked="0"/>
    </xf>
    <xf numFmtId="0" fontId="3" fillId="30" borderId="13" xfId="0" applyFont="1" applyFill="1" applyBorder="1" applyAlignment="1" applyProtection="1">
      <alignment vertical="center"/>
      <protection locked="0"/>
    </xf>
    <xf numFmtId="0" fontId="3" fillId="30" borderId="19" xfId="0" applyFont="1" applyFill="1" applyBorder="1" applyAlignment="1" applyProtection="1">
      <alignment vertical="center"/>
      <protection locked="0"/>
    </xf>
    <xf numFmtId="0" fontId="3" fillId="30" borderId="19" xfId="0" applyFont="1" applyFill="1" applyBorder="1" applyAlignment="1" applyProtection="1" quotePrefix="1">
      <alignment vertical="center"/>
      <protection locked="0"/>
    </xf>
    <xf numFmtId="0" fontId="3" fillId="30" borderId="17" xfId="0" applyFont="1" applyFill="1" applyBorder="1" applyAlignment="1" applyProtection="1">
      <alignment vertical="center"/>
      <protection locked="0"/>
    </xf>
    <xf numFmtId="5" fontId="3" fillId="31" borderId="110" xfId="0" applyNumberFormat="1" applyFont="1" applyFill="1" applyBorder="1" applyAlignment="1" applyProtection="1">
      <alignment horizontal="center" vertical="center"/>
      <protection/>
    </xf>
    <xf numFmtId="0" fontId="21" fillId="30" borderId="0" xfId="62" applyNumberFormat="1" applyFont="1" applyFill="1" applyAlignment="1" applyProtection="1">
      <alignment vertical="center"/>
      <protection locked="0"/>
    </xf>
    <xf numFmtId="0" fontId="15" fillId="30" borderId="0" xfId="62" applyNumberFormat="1" applyFont="1" applyFill="1" applyAlignment="1" applyProtection="1">
      <alignment horizontal="center" vertical="center"/>
      <protection locked="0"/>
    </xf>
    <xf numFmtId="0" fontId="15" fillId="30" borderId="0" xfId="62" applyNumberFormat="1" applyFont="1" applyFill="1" applyAlignment="1" applyProtection="1">
      <alignment vertical="center"/>
      <protection locked="0"/>
    </xf>
    <xf numFmtId="0" fontId="21" fillId="30" borderId="0" xfId="62" applyNumberFormat="1" applyFont="1" applyFill="1" applyAlignment="1" applyProtection="1" quotePrefix="1">
      <alignment horizontal="left" vertical="center"/>
      <protection locked="0"/>
    </xf>
    <xf numFmtId="0" fontId="22" fillId="27" borderId="0" xfId="62" applyNumberFormat="1" applyFont="1" applyFill="1" applyAlignment="1" applyProtection="1">
      <alignment vertical="center"/>
      <protection locked="0"/>
    </xf>
    <xf numFmtId="0" fontId="26" fillId="27" borderId="0" xfId="62" applyNumberFormat="1" applyFont="1" applyFill="1" applyAlignment="1" applyProtection="1">
      <alignment horizontal="right" vertical="center"/>
      <protection locked="0"/>
    </xf>
    <xf numFmtId="0" fontId="26" fillId="27" borderId="0" xfId="62" applyNumberFormat="1" applyFont="1" applyFill="1" applyAlignment="1" applyProtection="1" quotePrefix="1">
      <alignment horizontal="left" vertical="center"/>
      <protection locked="0"/>
    </xf>
    <xf numFmtId="0" fontId="21" fillId="30" borderId="0" xfId="62" applyNumberFormat="1" applyFont="1" applyFill="1" applyAlignment="1" applyProtection="1">
      <alignment horizontal="left" vertical="center"/>
      <protection locked="0"/>
    </xf>
    <xf numFmtId="0" fontId="22" fillId="27" borderId="0" xfId="62" applyNumberFormat="1" applyFont="1" applyFill="1" applyAlignment="1" applyProtection="1" quotePrefix="1">
      <alignment horizontal="right" vertical="center"/>
      <protection locked="0"/>
    </xf>
    <xf numFmtId="182" fontId="5" fillId="32" borderId="23" xfId="62" applyNumberFormat="1" applyFont="1" applyFill="1" applyBorder="1" applyAlignment="1" applyProtection="1">
      <alignment vertical="center"/>
      <protection locked="0"/>
    </xf>
    <xf numFmtId="177" fontId="5" fillId="32" borderId="23" xfId="62" applyNumberFormat="1" applyFont="1" applyFill="1" applyBorder="1" applyAlignment="1" applyProtection="1">
      <alignment vertical="center"/>
      <protection locked="0"/>
    </xf>
    <xf numFmtId="176" fontId="4" fillId="30" borderId="103" xfId="0" applyNumberFormat="1" applyFont="1" applyFill="1" applyBorder="1" applyAlignment="1" applyProtection="1">
      <alignment vertical="center"/>
      <protection locked="0"/>
    </xf>
    <xf numFmtId="176" fontId="7" fillId="30" borderId="111" xfId="0" applyNumberFormat="1" applyFont="1" applyFill="1" applyBorder="1" applyAlignment="1" applyProtection="1" quotePrefix="1">
      <alignment horizontal="left" vertical="center"/>
      <protection locked="0"/>
    </xf>
    <xf numFmtId="0" fontId="4" fillId="33" borderId="112" xfId="0" applyFont="1" applyFill="1" applyBorder="1" applyAlignment="1" applyProtection="1" quotePrefix="1">
      <alignment vertical="center"/>
      <protection locked="0"/>
    </xf>
    <xf numFmtId="0" fontId="4" fillId="33" borderId="112" xfId="0" applyFont="1" applyFill="1" applyBorder="1" applyAlignment="1" applyProtection="1">
      <alignment vertical="center"/>
      <protection locked="0"/>
    </xf>
    <xf numFmtId="0" fontId="56" fillId="33" borderId="112" xfId="0" applyNumberFormat="1" applyFont="1" applyFill="1" applyBorder="1" applyAlignment="1" applyProtection="1" quotePrefix="1">
      <alignment horizontal="right" vertical="center"/>
      <protection locked="0"/>
    </xf>
    <xf numFmtId="176" fontId="7" fillId="30" borderId="113" xfId="0" applyNumberFormat="1" applyFont="1" applyFill="1" applyBorder="1" applyAlignment="1" applyProtection="1">
      <alignment vertical="center"/>
      <protection locked="0"/>
    </xf>
    <xf numFmtId="0" fontId="4" fillId="30" borderId="19" xfId="0" applyFont="1" applyFill="1" applyBorder="1" applyAlignment="1" applyProtection="1">
      <alignment vertical="center"/>
      <protection locked="0"/>
    </xf>
    <xf numFmtId="176" fontId="7" fillId="30" borderId="114" xfId="0" applyNumberFormat="1" applyFont="1" applyFill="1" applyBorder="1" applyAlignment="1" applyProtection="1">
      <alignment vertical="center"/>
      <protection locked="0"/>
    </xf>
    <xf numFmtId="0" fontId="4" fillId="30" borderId="115" xfId="0" applyFont="1" applyFill="1" applyBorder="1" applyAlignment="1" applyProtection="1">
      <alignment vertical="center"/>
      <protection locked="0"/>
    </xf>
    <xf numFmtId="176" fontId="4" fillId="30" borderId="0" xfId="0" applyNumberFormat="1" applyFont="1" applyFill="1" applyBorder="1" applyAlignment="1" applyProtection="1">
      <alignment vertical="center"/>
      <protection locked="0"/>
    </xf>
    <xf numFmtId="0" fontId="4" fillId="30" borderId="116" xfId="0" applyFont="1" applyFill="1" applyBorder="1" applyAlignment="1" applyProtection="1" quotePrefix="1">
      <alignment horizontal="right" vertical="center"/>
      <protection locked="0"/>
    </xf>
    <xf numFmtId="183" fontId="3" fillId="30" borderId="117" xfId="0" applyNumberFormat="1" applyFont="1" applyFill="1" applyBorder="1" applyAlignment="1" applyProtection="1">
      <alignment vertical="center"/>
      <protection/>
    </xf>
    <xf numFmtId="176" fontId="56" fillId="33" borderId="116" xfId="0" applyNumberFormat="1" applyFont="1" applyFill="1" applyBorder="1" applyAlignment="1" applyProtection="1" quotePrefix="1">
      <alignment vertical="center"/>
      <protection locked="0"/>
    </xf>
    <xf numFmtId="176" fontId="4" fillId="30" borderId="49" xfId="0" applyNumberFormat="1" applyFont="1" applyFill="1" applyBorder="1" applyAlignment="1" applyProtection="1">
      <alignment vertical="center"/>
      <protection locked="0"/>
    </xf>
    <xf numFmtId="0" fontId="4" fillId="30" borderId="118" xfId="0" applyFont="1" applyFill="1" applyBorder="1" applyAlignment="1" applyProtection="1" quotePrefix="1">
      <alignment horizontal="center" vertical="center"/>
      <protection locked="0"/>
    </xf>
    <xf numFmtId="177" fontId="3" fillId="31" borderId="119" xfId="0" applyNumberFormat="1" applyFont="1" applyFill="1" applyBorder="1" applyAlignment="1" applyProtection="1">
      <alignment vertical="center"/>
      <protection/>
    </xf>
    <xf numFmtId="177" fontId="3" fillId="31" borderId="120" xfId="0" applyNumberFormat="1" applyFont="1" applyFill="1" applyBorder="1" applyAlignment="1" applyProtection="1">
      <alignment vertical="center"/>
      <protection/>
    </xf>
    <xf numFmtId="177" fontId="3" fillId="31" borderId="121" xfId="0" applyNumberFormat="1" applyFont="1" applyFill="1" applyBorder="1" applyAlignment="1" applyProtection="1">
      <alignment vertical="center"/>
      <protection/>
    </xf>
    <xf numFmtId="0" fontId="3" fillId="34" borderId="34" xfId="0" applyFont="1" applyFill="1" applyBorder="1" applyAlignment="1" applyProtection="1">
      <alignment horizontal="center" vertical="center"/>
      <protection locked="0"/>
    </xf>
    <xf numFmtId="0" fontId="3" fillId="34" borderId="35" xfId="0" applyFont="1" applyFill="1" applyBorder="1" applyAlignment="1" applyProtection="1">
      <alignment horizontal="center" vertical="center"/>
      <protection locked="0"/>
    </xf>
    <xf numFmtId="0" fontId="3" fillId="34" borderId="33" xfId="0" applyFont="1" applyFill="1" applyBorder="1" applyAlignment="1" applyProtection="1">
      <alignment horizontal="center" vertical="center"/>
      <protection locked="0"/>
    </xf>
    <xf numFmtId="0" fontId="3" fillId="34" borderId="36" xfId="0" applyFont="1" applyFill="1" applyBorder="1" applyAlignment="1" applyProtection="1">
      <alignment horizontal="center" vertical="center"/>
      <protection locked="0"/>
    </xf>
    <xf numFmtId="0" fontId="3" fillId="34" borderId="40" xfId="0" applyFont="1" applyFill="1" applyBorder="1" applyAlignment="1" applyProtection="1">
      <alignment horizontal="center" vertical="center"/>
      <protection locked="0"/>
    </xf>
    <xf numFmtId="0" fontId="18" fillId="35" borderId="23" xfId="0" applyFont="1" applyFill="1" applyBorder="1" applyAlignment="1" applyProtection="1">
      <alignment horizontal="center" vertical="center"/>
      <protection locked="0"/>
    </xf>
    <xf numFmtId="0" fontId="22" fillId="27" borderId="0" xfId="62" applyNumberFormat="1" applyFont="1" applyFill="1" applyAlignment="1" applyProtection="1" quotePrefix="1">
      <alignment horizontal="left" vertical="center"/>
      <protection locked="0"/>
    </xf>
    <xf numFmtId="0" fontId="4" fillId="36" borderId="0" xfId="0" applyFont="1" applyFill="1" applyAlignment="1" applyProtection="1" quotePrefix="1">
      <alignment horizontal="left" vertical="center"/>
      <protection locked="0"/>
    </xf>
    <xf numFmtId="0" fontId="22" fillId="36" borderId="0" xfId="62" applyNumberFormat="1" applyFont="1" applyFill="1" applyAlignment="1" applyProtection="1" quotePrefix="1">
      <alignment horizontal="right" vertical="center"/>
      <protection locked="0"/>
    </xf>
    <xf numFmtId="0" fontId="4" fillId="36" borderId="23" xfId="61" applyFont="1" applyFill="1" applyBorder="1" applyProtection="1">
      <alignment vertical="center"/>
      <protection locked="0"/>
    </xf>
    <xf numFmtId="0" fontId="4" fillId="36" borderId="0" xfId="61" applyFont="1" applyFill="1" applyProtection="1">
      <alignment vertical="center"/>
      <protection locked="0"/>
    </xf>
    <xf numFmtId="177" fontId="4" fillId="4" borderId="23" xfId="0" applyNumberFormat="1" applyFont="1" applyFill="1" applyBorder="1" applyAlignment="1" applyProtection="1">
      <alignment vertical="center"/>
      <protection locked="0"/>
    </xf>
    <xf numFmtId="177" fontId="4" fillId="4" borderId="23" xfId="0" applyNumberFormat="1" applyFont="1" applyFill="1" applyBorder="1" applyAlignment="1" applyProtection="1" quotePrefix="1">
      <alignment vertical="center"/>
      <protection locked="0"/>
    </xf>
    <xf numFmtId="177" fontId="4" fillId="4" borderId="0" xfId="0" applyNumberFormat="1" applyFont="1" applyFill="1" applyAlignment="1" applyProtection="1">
      <alignment vertical="center"/>
      <protection locked="0"/>
    </xf>
    <xf numFmtId="177" fontId="4" fillId="4" borderId="23" xfId="0" applyNumberFormat="1" applyFont="1" applyFill="1" applyBorder="1" applyAlignment="1" applyProtection="1">
      <alignment vertical="center"/>
      <protection locked="0"/>
    </xf>
    <xf numFmtId="0" fontId="4" fillId="4" borderId="20" xfId="0" applyFont="1" applyFill="1" applyBorder="1" applyAlignment="1" applyProtection="1" quotePrefix="1">
      <alignment horizontal="left" vertical="center" shrinkToFit="1"/>
      <protection locked="0"/>
    </xf>
    <xf numFmtId="0" fontId="4" fillId="4" borderId="21" xfId="0" applyFont="1" applyFill="1" applyBorder="1" applyAlignment="1" applyProtection="1" quotePrefix="1">
      <alignment horizontal="left" vertical="center" shrinkToFit="1"/>
      <protection locked="0"/>
    </xf>
    <xf numFmtId="183" fontId="3" fillId="0" borderId="12" xfId="0" applyNumberFormat="1" applyFont="1" applyBorder="1" applyAlignment="1">
      <alignment vertical="center"/>
    </xf>
    <xf numFmtId="183" fontId="3" fillId="0" borderId="18" xfId="0" applyNumberFormat="1" applyFont="1" applyBorder="1" applyAlignment="1">
      <alignment vertical="center"/>
    </xf>
    <xf numFmtId="183" fontId="3" fillId="0" borderId="13" xfId="0" applyNumberFormat="1" applyFont="1" applyBorder="1" applyAlignment="1">
      <alignment vertical="center"/>
    </xf>
    <xf numFmtId="183" fontId="3" fillId="0" borderId="16" xfId="0" applyNumberFormat="1" applyFont="1" applyBorder="1" applyAlignment="1">
      <alignment vertical="center"/>
    </xf>
    <xf numFmtId="183" fontId="3" fillId="0" borderId="19" xfId="0" applyNumberFormat="1" applyFont="1" applyBorder="1" applyAlignment="1">
      <alignment vertical="center"/>
    </xf>
    <xf numFmtId="183" fontId="3" fillId="0" borderId="17" xfId="0" applyNumberFormat="1" applyFont="1" applyBorder="1" applyAlignment="1">
      <alignment vertical="center"/>
    </xf>
    <xf numFmtId="0" fontId="15" fillId="33" borderId="0" xfId="62" applyNumberFormat="1" applyFont="1" applyFill="1" applyAlignment="1" applyProtection="1">
      <alignment horizontal="center" vertical="center"/>
      <protection locked="0"/>
    </xf>
    <xf numFmtId="0" fontId="15" fillId="33" borderId="0" xfId="62" applyNumberFormat="1" applyFont="1" applyFill="1" applyAlignment="1" applyProtection="1">
      <alignment vertical="center"/>
      <protection locked="0"/>
    </xf>
    <xf numFmtId="0" fontId="57" fillId="30" borderId="0" xfId="0" applyFont="1" applyFill="1" applyAlignment="1">
      <alignment vertical="center"/>
    </xf>
    <xf numFmtId="0" fontId="58" fillId="30" borderId="0" xfId="0" applyFont="1" applyFill="1" applyAlignment="1" quotePrefix="1">
      <alignment horizontal="left" vertical="center"/>
    </xf>
    <xf numFmtId="0" fontId="27" fillId="30" borderId="0" xfId="62" applyNumberFormat="1" applyFont="1" applyFill="1" applyAlignment="1" applyProtection="1">
      <alignment vertical="center"/>
      <protection locked="0"/>
    </xf>
    <xf numFmtId="177" fontId="5" fillId="32" borderId="55" xfId="0" applyNumberFormat="1" applyFont="1" applyFill="1" applyBorder="1" applyAlignment="1" applyProtection="1">
      <alignment vertical="center"/>
      <protection locked="0"/>
    </xf>
    <xf numFmtId="177" fontId="5" fillId="32" borderId="57" xfId="0" applyNumberFormat="1" applyFont="1" applyFill="1" applyBorder="1" applyAlignment="1" applyProtection="1">
      <alignment vertical="center"/>
      <protection locked="0"/>
    </xf>
    <xf numFmtId="177" fontId="3" fillId="31" borderId="55" xfId="0" applyNumberFormat="1" applyFont="1" applyFill="1" applyBorder="1" applyAlignment="1" applyProtection="1">
      <alignment vertical="center"/>
      <protection/>
    </xf>
    <xf numFmtId="177" fontId="3" fillId="31" borderId="57" xfId="0" applyNumberFormat="1" applyFont="1" applyFill="1" applyBorder="1" applyAlignment="1" applyProtection="1">
      <alignment vertical="center"/>
      <protection/>
    </xf>
    <xf numFmtId="0" fontId="4" fillId="30" borderId="0" xfId="0" applyFont="1" applyFill="1" applyAlignment="1" applyProtection="1" quotePrefix="1">
      <alignment horizontal="center" vertical="center"/>
      <protection locked="0"/>
    </xf>
    <xf numFmtId="0" fontId="4" fillId="30" borderId="0" xfId="0" applyFont="1" applyFill="1" applyAlignment="1" applyProtection="1">
      <alignment horizontal="center" vertical="center"/>
      <protection locked="0"/>
    </xf>
    <xf numFmtId="0" fontId="4" fillId="30" borderId="20" xfId="0" applyFont="1" applyFill="1" applyBorder="1" applyAlignment="1" applyProtection="1" quotePrefix="1">
      <alignment horizontal="center" vertical="center"/>
      <protection locked="0"/>
    </xf>
    <xf numFmtId="0" fontId="0" fillId="0" borderId="22" xfId="0" applyBorder="1" applyAlignment="1">
      <alignment horizontal="center" vertical="center"/>
    </xf>
    <xf numFmtId="5" fontId="3" fillId="31" borderId="122" xfId="0" applyNumberFormat="1" applyFont="1" applyFill="1" applyBorder="1" applyAlignment="1" applyProtection="1">
      <alignment vertical="center"/>
      <protection/>
    </xf>
    <xf numFmtId="5" fontId="3" fillId="31" borderId="123" xfId="0" applyNumberFormat="1" applyFont="1" applyFill="1" applyBorder="1" applyAlignment="1">
      <alignment vertical="center"/>
    </xf>
    <xf numFmtId="5" fontId="3" fillId="31" borderId="124" xfId="0" applyNumberFormat="1" applyFont="1" applyFill="1" applyBorder="1" applyAlignment="1">
      <alignment vertical="center"/>
    </xf>
    <xf numFmtId="0" fontId="4" fillId="30" borderId="23" xfId="0" applyFont="1" applyFill="1" applyBorder="1" applyAlignment="1" applyProtection="1" quotePrefix="1">
      <alignment horizontal="center" vertical="center" wrapText="1"/>
      <protection locked="0"/>
    </xf>
    <xf numFmtId="0" fontId="4" fillId="30" borderId="23" xfId="0" applyFont="1" applyFill="1" applyBorder="1" applyAlignment="1" applyProtection="1">
      <alignment horizontal="center" vertical="center"/>
      <protection locked="0"/>
    </xf>
    <xf numFmtId="0" fontId="4" fillId="30" borderId="65" xfId="0" applyFont="1" applyFill="1" applyBorder="1" applyAlignment="1" applyProtection="1" quotePrefix="1">
      <alignment horizontal="center" vertical="center"/>
      <protection locked="0"/>
    </xf>
    <xf numFmtId="0" fontId="4" fillId="30" borderId="60" xfId="0" applyFont="1" applyFill="1" applyBorder="1" applyAlignment="1" applyProtection="1">
      <alignment horizontal="center" vertical="center"/>
      <protection locked="0"/>
    </xf>
    <xf numFmtId="0" fontId="4" fillId="30" borderId="61" xfId="0" applyFont="1" applyFill="1" applyBorder="1" applyAlignment="1" applyProtection="1">
      <alignment horizontal="center" vertical="center"/>
      <protection locked="0"/>
    </xf>
    <xf numFmtId="177" fontId="3" fillId="30" borderId="125" xfId="0" applyNumberFormat="1" applyFont="1" applyFill="1" applyBorder="1" applyAlignment="1" applyProtection="1">
      <alignment vertical="center"/>
      <protection locked="0"/>
    </xf>
    <xf numFmtId="0" fontId="0" fillId="30" borderId="126" xfId="0" applyFill="1" applyBorder="1" applyAlignment="1" applyProtection="1">
      <alignment vertical="center"/>
      <protection locked="0"/>
    </xf>
    <xf numFmtId="0" fontId="0" fillId="30" borderId="127" xfId="0" applyFill="1" applyBorder="1" applyAlignment="1" applyProtection="1">
      <alignment vertical="center"/>
      <protection locked="0"/>
    </xf>
    <xf numFmtId="0" fontId="0" fillId="30" borderId="128" xfId="0" applyFill="1" applyBorder="1" applyAlignment="1" applyProtection="1">
      <alignment vertical="center"/>
      <protection locked="0"/>
    </xf>
    <xf numFmtId="195" fontId="3" fillId="31" borderId="129" xfId="0" applyNumberFormat="1" applyFont="1" applyFill="1" applyBorder="1" applyAlignment="1" applyProtection="1">
      <alignment vertical="center"/>
      <protection/>
    </xf>
    <xf numFmtId="195" fontId="3" fillId="31" borderId="130" xfId="0" applyNumberFormat="1" applyFont="1" applyFill="1" applyBorder="1" applyAlignment="1">
      <alignment vertical="center"/>
    </xf>
    <xf numFmtId="195" fontId="3" fillId="31" borderId="131" xfId="0" applyNumberFormat="1" applyFont="1" applyFill="1" applyBorder="1" applyAlignment="1">
      <alignment vertical="center"/>
    </xf>
    <xf numFmtId="177" fontId="3" fillId="31" borderId="129" xfId="0" applyNumberFormat="1" applyFont="1" applyFill="1" applyBorder="1" applyAlignment="1" applyProtection="1">
      <alignment vertical="center"/>
      <protection/>
    </xf>
    <xf numFmtId="177" fontId="3" fillId="31" borderId="132" xfId="0" applyNumberFormat="1" applyFont="1" applyFill="1" applyBorder="1" applyAlignment="1" applyProtection="1">
      <alignment vertical="center"/>
      <protection/>
    </xf>
    <xf numFmtId="177" fontId="3" fillId="31" borderId="69" xfId="0" applyNumberFormat="1" applyFont="1" applyFill="1" applyBorder="1" applyAlignment="1" applyProtection="1">
      <alignment vertical="center"/>
      <protection/>
    </xf>
    <xf numFmtId="177" fontId="3" fillId="31" borderId="131" xfId="0" applyNumberFormat="1" applyFont="1" applyFill="1" applyBorder="1" applyAlignment="1" applyProtection="1">
      <alignment vertical="center"/>
      <protection/>
    </xf>
    <xf numFmtId="5" fontId="10" fillId="31" borderId="90" xfId="0" applyNumberFormat="1" applyFont="1" applyFill="1" applyBorder="1" applyAlignment="1" applyProtection="1">
      <alignment vertical="center"/>
      <protection/>
    </xf>
    <xf numFmtId="5" fontId="10" fillId="31" borderId="133" xfId="0" applyNumberFormat="1" applyFont="1" applyFill="1" applyBorder="1" applyAlignment="1">
      <alignment vertical="center"/>
    </xf>
    <xf numFmtId="5" fontId="10" fillId="31" borderId="59" xfId="0" applyNumberFormat="1" applyFont="1" applyFill="1" applyBorder="1" applyAlignment="1" applyProtection="1">
      <alignment vertical="center"/>
      <protection/>
    </xf>
    <xf numFmtId="5" fontId="10" fillId="31" borderId="134" xfId="0" applyNumberFormat="1" applyFont="1" applyFill="1" applyBorder="1" applyAlignment="1">
      <alignment vertical="center"/>
    </xf>
    <xf numFmtId="5" fontId="10" fillId="31" borderId="91" xfId="0" applyNumberFormat="1" applyFont="1" applyFill="1" applyBorder="1" applyAlignment="1" applyProtection="1">
      <alignment vertical="center"/>
      <protection/>
    </xf>
    <xf numFmtId="5" fontId="10" fillId="31" borderId="135" xfId="0" applyNumberFormat="1" applyFont="1" applyFill="1" applyBorder="1" applyAlignment="1">
      <alignment vertical="center"/>
    </xf>
    <xf numFmtId="5" fontId="3" fillId="31" borderId="68" xfId="0" applyNumberFormat="1" applyFont="1" applyFill="1" applyBorder="1" applyAlignment="1">
      <alignment vertical="center"/>
    </xf>
    <xf numFmtId="5" fontId="3" fillId="31" borderId="41" xfId="0" applyNumberFormat="1" applyFont="1" applyFill="1" applyBorder="1" applyAlignment="1" applyProtection="1">
      <alignment vertical="center"/>
      <protection/>
    </xf>
    <xf numFmtId="177" fontId="19" fillId="30" borderId="136" xfId="0" applyNumberFormat="1" applyFont="1" applyFill="1" applyBorder="1" applyAlignment="1" applyProtection="1">
      <alignment vertical="center"/>
      <protection locked="0"/>
    </xf>
    <xf numFmtId="0" fontId="19" fillId="30" borderId="137" xfId="0" applyFont="1" applyFill="1" applyBorder="1" applyAlignment="1">
      <alignment vertical="center"/>
    </xf>
    <xf numFmtId="0" fontId="19" fillId="30" borderId="138" xfId="0" applyFont="1" applyFill="1" applyBorder="1" applyAlignment="1">
      <alignment vertical="center"/>
    </xf>
    <xf numFmtId="177" fontId="19" fillId="30" borderId="139" xfId="0" applyNumberFormat="1" applyFont="1" applyFill="1" applyBorder="1" applyAlignment="1" applyProtection="1">
      <alignment vertical="center"/>
      <protection locked="0"/>
    </xf>
    <xf numFmtId="0" fontId="19" fillId="30" borderId="140" xfId="0" applyFont="1" applyFill="1" applyBorder="1" applyAlignment="1">
      <alignment vertical="center"/>
    </xf>
    <xf numFmtId="0" fontId="19" fillId="30" borderId="141" xfId="0" applyFont="1" applyFill="1" applyBorder="1" applyAlignment="1">
      <alignment vertical="center"/>
    </xf>
    <xf numFmtId="0" fontId="4" fillId="0" borderId="139" xfId="0" applyFont="1" applyBorder="1" applyAlignment="1" applyProtection="1">
      <alignment vertical="center"/>
      <protection locked="0"/>
    </xf>
    <xf numFmtId="0" fontId="0" fillId="0" borderId="140" xfId="0" applyBorder="1" applyAlignment="1">
      <alignment vertical="center"/>
    </xf>
    <xf numFmtId="0" fontId="0" fillId="0" borderId="142" xfId="0" applyBorder="1" applyAlignment="1">
      <alignment vertical="center"/>
    </xf>
    <xf numFmtId="177" fontId="3" fillId="31" borderId="108" xfId="0" applyNumberFormat="1" applyFont="1" applyFill="1" applyBorder="1" applyAlignment="1" applyProtection="1">
      <alignment vertical="center"/>
      <protection/>
    </xf>
    <xf numFmtId="0" fontId="0" fillId="31" borderId="108" xfId="0" applyFill="1" applyBorder="1" applyAlignment="1">
      <alignment vertical="center"/>
    </xf>
    <xf numFmtId="177" fontId="3" fillId="31" borderId="109" xfId="0" applyNumberFormat="1" applyFont="1" applyFill="1" applyBorder="1" applyAlignment="1" applyProtection="1">
      <alignment vertical="center"/>
      <protection/>
    </xf>
    <xf numFmtId="0" fontId="0" fillId="31" borderId="109" xfId="0" applyFill="1" applyBorder="1" applyAlignment="1">
      <alignment vertical="center"/>
    </xf>
    <xf numFmtId="177" fontId="3" fillId="31" borderId="106" xfId="0" applyNumberFormat="1" applyFont="1" applyFill="1" applyBorder="1" applyAlignment="1" applyProtection="1">
      <alignment vertical="center"/>
      <protection/>
    </xf>
    <xf numFmtId="0" fontId="0" fillId="31" borderId="106" xfId="0" applyFill="1" applyBorder="1" applyAlignment="1">
      <alignment vertical="center"/>
    </xf>
    <xf numFmtId="179" fontId="3" fillId="30" borderId="143" xfId="0" applyNumberFormat="1" applyFont="1" applyFill="1" applyBorder="1" applyAlignment="1" applyProtection="1">
      <alignment horizontal="center" vertical="center"/>
      <protection/>
    </xf>
    <xf numFmtId="179" fontId="3" fillId="30" borderId="144" xfId="0" applyNumberFormat="1" applyFont="1" applyFill="1" applyBorder="1" applyAlignment="1" applyProtection="1">
      <alignment horizontal="center" vertical="center"/>
      <protection/>
    </xf>
    <xf numFmtId="178" fontId="3" fillId="31" borderId="58" xfId="0" applyNumberFormat="1" applyFont="1" applyFill="1" applyBorder="1" applyAlignment="1" applyProtection="1">
      <alignment horizontal="center" vertical="center"/>
      <protection/>
    </xf>
    <xf numFmtId="178" fontId="3" fillId="31" borderId="107" xfId="0" applyNumberFormat="1" applyFont="1" applyFill="1" applyBorder="1" applyAlignment="1" applyProtection="1">
      <alignment horizontal="center" vertical="center"/>
      <protection/>
    </xf>
    <xf numFmtId="178" fontId="3" fillId="31" borderId="13" xfId="0" applyNumberFormat="1" applyFont="1" applyFill="1" applyBorder="1" applyAlignment="1" applyProtection="1">
      <alignment horizontal="center" vertical="center"/>
      <protection/>
    </xf>
    <xf numFmtId="178" fontId="4" fillId="30" borderId="73" xfId="0" applyNumberFormat="1" applyFont="1" applyFill="1" applyBorder="1" applyAlignment="1" applyProtection="1">
      <alignment vertical="center"/>
      <protection locked="0"/>
    </xf>
    <xf numFmtId="0" fontId="4" fillId="0" borderId="145" xfId="0" applyFont="1" applyBorder="1" applyAlignment="1" applyProtection="1">
      <alignment vertical="center"/>
      <protection locked="0"/>
    </xf>
    <xf numFmtId="178" fontId="4" fillId="30" borderId="146" xfId="0" applyNumberFormat="1" applyFont="1" applyFill="1" applyBorder="1" applyAlignment="1" applyProtection="1">
      <alignment vertical="center"/>
      <protection locked="0"/>
    </xf>
    <xf numFmtId="0" fontId="4" fillId="0" borderId="147" xfId="0" applyFont="1" applyBorder="1" applyAlignment="1" applyProtection="1">
      <alignment vertical="center"/>
      <protection locked="0"/>
    </xf>
    <xf numFmtId="178" fontId="4" fillId="30" borderId="148" xfId="0" applyNumberFormat="1" applyFont="1" applyFill="1" applyBorder="1" applyAlignment="1" applyProtection="1">
      <alignment vertical="center"/>
      <protection locked="0"/>
    </xf>
    <xf numFmtId="0" fontId="4" fillId="0" borderId="149" xfId="0" applyFont="1" applyBorder="1" applyAlignment="1" applyProtection="1">
      <alignment vertical="center"/>
      <protection locked="0"/>
    </xf>
    <xf numFmtId="177" fontId="3" fillId="30" borderId="150" xfId="0" applyNumberFormat="1" applyFont="1" applyFill="1" applyBorder="1" applyAlignment="1" applyProtection="1">
      <alignment vertical="center"/>
      <protection/>
    </xf>
    <xf numFmtId="177" fontId="3" fillId="30" borderId="144" xfId="0" applyNumberFormat="1" applyFont="1" applyFill="1" applyBorder="1" applyAlignment="1" applyProtection="1">
      <alignment vertical="center"/>
      <protection/>
    </xf>
    <xf numFmtId="177" fontId="3" fillId="30" borderId="151" xfId="0" applyNumberFormat="1" applyFont="1" applyFill="1" applyBorder="1" applyAlignment="1" applyProtection="1">
      <alignment vertical="center"/>
      <protection/>
    </xf>
    <xf numFmtId="177" fontId="3" fillId="31" borderId="72" xfId="0" applyNumberFormat="1" applyFont="1" applyFill="1" applyBorder="1" applyAlignment="1" applyProtection="1">
      <alignment vertical="center"/>
      <protection/>
    </xf>
    <xf numFmtId="177" fontId="3" fillId="31" borderId="133" xfId="0" applyNumberFormat="1" applyFont="1" applyFill="1" applyBorder="1" applyAlignment="1" applyProtection="1">
      <alignment vertical="center"/>
      <protection/>
    </xf>
    <xf numFmtId="177" fontId="3" fillId="31" borderId="70" xfId="0" applyNumberFormat="1" applyFont="1" applyFill="1" applyBorder="1" applyAlignment="1" applyProtection="1">
      <alignment vertical="center"/>
      <protection/>
    </xf>
    <xf numFmtId="177" fontId="3" fillId="31" borderId="134" xfId="0" applyNumberFormat="1" applyFont="1" applyFill="1" applyBorder="1" applyAlignment="1" applyProtection="1">
      <alignment vertical="center"/>
      <protection/>
    </xf>
    <xf numFmtId="177" fontId="3" fillId="31" borderId="71" xfId="0" applyNumberFormat="1" applyFont="1" applyFill="1" applyBorder="1" applyAlignment="1" applyProtection="1">
      <alignment vertical="center"/>
      <protection/>
    </xf>
    <xf numFmtId="177" fontId="3" fillId="31" borderId="135" xfId="0" applyNumberFormat="1" applyFont="1" applyFill="1" applyBorder="1" applyAlignment="1" applyProtection="1">
      <alignment vertical="center"/>
      <protection/>
    </xf>
    <xf numFmtId="177" fontId="3" fillId="31" borderId="122" xfId="0" applyNumberFormat="1" applyFont="1" applyFill="1" applyBorder="1" applyAlignment="1" applyProtection="1">
      <alignment vertical="center"/>
      <protection/>
    </xf>
    <xf numFmtId="177" fontId="3" fillId="31" borderId="68" xfId="0" applyNumberFormat="1" applyFont="1" applyFill="1" applyBorder="1" applyAlignment="1" applyProtection="1">
      <alignment vertical="center"/>
      <protection/>
    </xf>
    <xf numFmtId="177" fontId="3" fillId="31" borderId="41" xfId="0" applyNumberFormat="1" applyFont="1" applyFill="1" applyBorder="1" applyAlignment="1" applyProtection="1">
      <alignment vertical="center"/>
      <protection/>
    </xf>
    <xf numFmtId="177" fontId="3" fillId="31" borderId="124" xfId="0" applyNumberFormat="1" applyFont="1" applyFill="1" applyBorder="1" applyAlignment="1" applyProtection="1">
      <alignment vertical="center"/>
      <protection/>
    </xf>
    <xf numFmtId="0" fontId="4" fillId="30" borderId="23" xfId="0" applyFont="1" applyFill="1" applyBorder="1" applyAlignment="1" applyProtection="1" quotePrefix="1">
      <alignment horizontal="center" vertical="center"/>
      <protection locked="0"/>
    </xf>
    <xf numFmtId="178" fontId="3" fillId="31" borderId="90" xfId="0" applyNumberFormat="1" applyFont="1" applyFill="1" applyBorder="1" applyAlignment="1" applyProtection="1">
      <alignment vertical="center"/>
      <protection/>
    </xf>
    <xf numFmtId="178" fontId="3" fillId="31" borderId="133" xfId="0" applyNumberFormat="1" applyFont="1" applyFill="1" applyBorder="1" applyAlignment="1" applyProtection="1">
      <alignment vertical="center"/>
      <protection/>
    </xf>
    <xf numFmtId="178" fontId="3" fillId="31" borderId="59" xfId="0" applyNumberFormat="1" applyFont="1" applyFill="1" applyBorder="1" applyAlignment="1" applyProtection="1">
      <alignment vertical="center"/>
      <protection/>
    </xf>
    <xf numFmtId="178" fontId="3" fillId="31" borderId="134" xfId="0" applyNumberFormat="1" applyFont="1" applyFill="1" applyBorder="1" applyAlignment="1" applyProtection="1">
      <alignment vertical="center"/>
      <protection/>
    </xf>
    <xf numFmtId="178" fontId="3" fillId="31" borderId="91" xfId="0" applyNumberFormat="1" applyFont="1" applyFill="1" applyBorder="1" applyAlignment="1" applyProtection="1">
      <alignment vertical="center"/>
      <protection/>
    </xf>
    <xf numFmtId="178" fontId="3" fillId="31" borderId="135" xfId="0" applyNumberFormat="1" applyFont="1" applyFill="1" applyBorder="1" applyAlignment="1" applyProtection="1">
      <alignment vertical="center"/>
      <protection/>
    </xf>
    <xf numFmtId="178" fontId="3" fillId="31" borderId="122" xfId="0" applyNumberFormat="1" applyFont="1" applyFill="1" applyBorder="1" applyAlignment="1" applyProtection="1">
      <alignment horizontal="center" vertical="center"/>
      <protection/>
    </xf>
    <xf numFmtId="178" fontId="3" fillId="31" borderId="68" xfId="0" applyNumberFormat="1" applyFont="1" applyFill="1" applyBorder="1" applyAlignment="1" applyProtection="1">
      <alignment horizontal="center" vertical="center"/>
      <protection/>
    </xf>
    <xf numFmtId="178" fontId="3" fillId="31" borderId="41" xfId="0" applyNumberFormat="1" applyFont="1" applyFill="1" applyBorder="1" applyAlignment="1" applyProtection="1">
      <alignment horizontal="center" vertical="center"/>
      <protection/>
    </xf>
    <xf numFmtId="178" fontId="3" fillId="31" borderId="124" xfId="0" applyNumberFormat="1" applyFont="1" applyFill="1" applyBorder="1" applyAlignment="1" applyProtection="1">
      <alignment horizontal="center" vertical="center"/>
      <protection/>
    </xf>
    <xf numFmtId="0" fontId="4" fillId="30" borderId="108" xfId="0" applyFont="1" applyFill="1" applyBorder="1" applyAlignment="1" applyProtection="1">
      <alignment horizontal="center" vertical="center"/>
      <protection locked="0"/>
    </xf>
    <xf numFmtId="0" fontId="4" fillId="0" borderId="133" xfId="0" applyFont="1" applyBorder="1" applyAlignment="1" applyProtection="1">
      <alignment horizontal="center" vertical="center"/>
      <protection locked="0"/>
    </xf>
    <xf numFmtId="0" fontId="4" fillId="30" borderId="109" xfId="0" applyFont="1" applyFill="1" applyBorder="1" applyAlignment="1" applyProtection="1">
      <alignment horizontal="center" vertical="center"/>
      <protection locked="0"/>
    </xf>
    <xf numFmtId="0" fontId="4" fillId="0" borderId="134" xfId="0" applyFont="1" applyBorder="1" applyAlignment="1" applyProtection="1">
      <alignment horizontal="center" vertical="center"/>
      <protection locked="0"/>
    </xf>
    <xf numFmtId="0" fontId="4" fillId="30" borderId="106" xfId="0" applyFont="1" applyFill="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177" fontId="3" fillId="6" borderId="12" xfId="0" applyNumberFormat="1" applyFont="1" applyFill="1" applyBorder="1" applyAlignment="1" applyProtection="1">
      <alignment vertical="center"/>
      <protection/>
    </xf>
    <xf numFmtId="177" fontId="3" fillId="6" borderId="107" xfId="0" applyNumberFormat="1" applyFont="1" applyFill="1" applyBorder="1" applyAlignment="1" applyProtection="1">
      <alignment vertical="center"/>
      <protection/>
    </xf>
    <xf numFmtId="177" fontId="3" fillId="6" borderId="58" xfId="0" applyNumberFormat="1" applyFont="1" applyFill="1" applyBorder="1" applyAlignment="1" applyProtection="1">
      <alignment vertical="center"/>
      <protection/>
    </xf>
    <xf numFmtId="177" fontId="3" fillId="6" borderId="13" xfId="0" applyNumberFormat="1" applyFont="1" applyFill="1" applyBorder="1" applyAlignment="1" applyProtection="1">
      <alignment vertical="center"/>
      <protection/>
    </xf>
    <xf numFmtId="0" fontId="4" fillId="30" borderId="152" xfId="0" applyNumberFormat="1" applyFont="1" applyFill="1" applyBorder="1" applyAlignment="1" applyProtection="1">
      <alignment horizontal="left" vertical="center" indent="1"/>
      <protection locked="0"/>
    </xf>
    <xf numFmtId="0" fontId="4" fillId="0" borderId="153" xfId="0" applyNumberFormat="1" applyFont="1" applyBorder="1" applyAlignment="1">
      <alignment horizontal="left" vertical="center" indent="1"/>
    </xf>
    <xf numFmtId="0" fontId="4" fillId="0" borderId="123" xfId="0" applyNumberFormat="1" applyFont="1" applyBorder="1" applyAlignment="1">
      <alignment horizontal="left" vertical="center" indent="1"/>
    </xf>
    <xf numFmtId="0" fontId="5" fillId="25" borderId="55" xfId="0" applyFont="1" applyFill="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4" fillId="30" borderId="12" xfId="0" applyFont="1" applyFill="1" applyBorder="1" applyAlignment="1" applyProtection="1" quotePrefix="1">
      <alignment horizontal="center" vertical="center"/>
      <protection locked="0"/>
    </xf>
    <xf numFmtId="0" fontId="4" fillId="0" borderId="107" xfId="0" applyFont="1" applyBorder="1" applyAlignment="1">
      <alignment horizontal="center" vertical="center"/>
    </xf>
    <xf numFmtId="0" fontId="4" fillId="0" borderId="16" xfId="0" applyFont="1" applyBorder="1" applyAlignment="1">
      <alignment horizontal="center" vertical="center"/>
    </xf>
    <xf numFmtId="0" fontId="4" fillId="0" borderId="154" xfId="0" applyFont="1" applyBorder="1" applyAlignment="1">
      <alignment horizontal="center" vertical="center"/>
    </xf>
    <xf numFmtId="0" fontId="4" fillId="30" borderId="55" xfId="0" applyFont="1" applyFill="1" applyBorder="1" applyAlignment="1" applyProtection="1" quotePrefix="1">
      <alignment horizontal="center" vertical="center"/>
      <protection locked="0"/>
    </xf>
    <xf numFmtId="0" fontId="0" fillId="0" borderId="56" xfId="0" applyBorder="1" applyAlignment="1">
      <alignment vertical="center"/>
    </xf>
    <xf numFmtId="0" fontId="4" fillId="30" borderId="23" xfId="0" applyFont="1" applyFill="1" applyBorder="1" applyAlignment="1" applyProtection="1">
      <alignment horizontal="center" vertical="center" wrapText="1"/>
      <protection locked="0"/>
    </xf>
    <xf numFmtId="0" fontId="4" fillId="30" borderId="55" xfId="0" applyFont="1" applyFill="1" applyBorder="1" applyAlignment="1" applyProtection="1">
      <alignment horizontal="center" vertical="center"/>
      <protection locked="0"/>
    </xf>
    <xf numFmtId="0" fontId="4" fillId="30" borderId="56" xfId="0" applyFont="1" applyFill="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30" borderId="155" xfId="0" applyFont="1" applyFill="1" applyBorder="1" applyAlignment="1" applyProtection="1">
      <alignment horizontal="center" vertical="center"/>
      <protection locked="0"/>
    </xf>
    <xf numFmtId="0" fontId="4" fillId="0" borderId="156" xfId="0" applyFont="1" applyBorder="1" applyAlignment="1" applyProtection="1">
      <alignment horizontal="center" vertical="center"/>
      <protection locked="0"/>
    </xf>
    <xf numFmtId="0" fontId="4" fillId="30" borderId="157" xfId="0" applyFont="1" applyFill="1" applyBorder="1" applyAlignment="1" applyProtection="1">
      <alignment horizontal="center" vertical="center"/>
      <protection locked="0"/>
    </xf>
    <xf numFmtId="0" fontId="4" fillId="0" borderId="158" xfId="0" applyFont="1" applyBorder="1" applyAlignment="1" applyProtection="1">
      <alignment horizontal="center" vertical="center"/>
      <protection locked="0"/>
    </xf>
    <xf numFmtId="181" fontId="5" fillId="32" borderId="55" xfId="0" applyNumberFormat="1" applyFont="1" applyFill="1" applyBorder="1" applyAlignment="1" applyProtection="1">
      <alignment vertical="center"/>
      <protection locked="0"/>
    </xf>
    <xf numFmtId="181" fontId="5" fillId="32" borderId="159" xfId="0" applyNumberFormat="1" applyFont="1" applyFill="1" applyBorder="1" applyAlignment="1" applyProtection="1">
      <alignment vertical="center"/>
      <protection locked="0"/>
    </xf>
    <xf numFmtId="5" fontId="3" fillId="31" borderId="23" xfId="0" applyNumberFormat="1" applyFont="1" applyFill="1" applyBorder="1" applyAlignment="1" applyProtection="1">
      <alignment horizontal="center" vertical="center"/>
      <protection/>
    </xf>
    <xf numFmtId="176" fontId="5" fillId="25" borderId="23" xfId="0" applyNumberFormat="1" applyFont="1" applyFill="1" applyBorder="1" applyAlignment="1" applyProtection="1">
      <alignment horizontal="center" vertical="center"/>
      <protection locked="0"/>
    </xf>
    <xf numFmtId="0" fontId="4" fillId="30" borderId="20" xfId="0" applyNumberFormat="1" applyFont="1" applyFill="1" applyBorder="1" applyAlignment="1" applyProtection="1">
      <alignment horizontal="center" vertical="center"/>
      <protection locked="0"/>
    </xf>
    <xf numFmtId="0" fontId="4" fillId="0" borderId="21" xfId="0" applyNumberFormat="1" applyFont="1" applyBorder="1" applyAlignment="1" applyProtection="1">
      <alignment horizontal="center" vertical="center"/>
      <protection locked="0"/>
    </xf>
    <xf numFmtId="0" fontId="4" fillId="0" borderId="22" xfId="0" applyNumberFormat="1" applyFont="1" applyBorder="1" applyAlignment="1" applyProtection="1">
      <alignment horizontal="center" vertical="center"/>
      <protection locked="0"/>
    </xf>
    <xf numFmtId="0" fontId="4" fillId="30" borderId="129" xfId="0" applyNumberFormat="1" applyFont="1" applyFill="1" applyBorder="1" applyAlignment="1" applyProtection="1">
      <alignment horizontal="left" vertical="center" indent="1"/>
      <protection locked="0"/>
    </xf>
    <xf numFmtId="0" fontId="4" fillId="0" borderId="130" xfId="0" applyNumberFormat="1" applyFont="1" applyBorder="1" applyAlignment="1">
      <alignment horizontal="left" vertical="center" indent="1"/>
    </xf>
    <xf numFmtId="0" fontId="4" fillId="30" borderId="160" xfId="0" applyNumberFormat="1" applyFont="1" applyFill="1" applyBorder="1" applyAlignment="1" applyProtection="1">
      <alignment horizontal="left" vertical="center" indent="1"/>
      <protection locked="0"/>
    </xf>
    <xf numFmtId="0" fontId="4" fillId="0" borderId="161" xfId="0" applyNumberFormat="1" applyFont="1" applyBorder="1" applyAlignment="1">
      <alignment horizontal="left" vertical="center" indent="1"/>
    </xf>
    <xf numFmtId="0" fontId="5" fillId="32" borderId="55" xfId="0" applyNumberFormat="1" applyFont="1" applyFill="1" applyBorder="1" applyAlignment="1" applyProtection="1">
      <alignment horizontal="left" vertical="center" indent="1"/>
      <protection locked="0"/>
    </xf>
    <xf numFmtId="0" fontId="5" fillId="32" borderId="56" xfId="0" applyNumberFormat="1" applyFont="1" applyFill="1" applyBorder="1" applyAlignment="1" applyProtection="1">
      <alignment horizontal="left" vertical="center" indent="1"/>
      <protection locked="0"/>
    </xf>
    <xf numFmtId="0" fontId="5" fillId="32" borderId="57" xfId="0" applyNumberFormat="1" applyFont="1" applyFill="1" applyBorder="1" applyAlignment="1" applyProtection="1">
      <alignment horizontal="left" vertical="center" indent="1"/>
      <protection locked="0"/>
    </xf>
    <xf numFmtId="176" fontId="3" fillId="30" borderId="55" xfId="0" applyNumberFormat="1" applyFont="1" applyFill="1" applyBorder="1" applyAlignment="1" applyProtection="1" quotePrefix="1">
      <alignment horizontal="right" vertical="center"/>
      <protection locked="0"/>
    </xf>
    <xf numFmtId="0" fontId="3" fillId="0" borderId="56" xfId="0" applyFont="1" applyBorder="1" applyAlignment="1" applyProtection="1">
      <alignment horizontal="right" vertical="center"/>
      <protection locked="0"/>
    </xf>
    <xf numFmtId="180" fontId="5" fillId="32" borderId="56" xfId="0" applyNumberFormat="1" applyFont="1" applyFill="1" applyBorder="1" applyAlignment="1" applyProtection="1" quotePrefix="1">
      <alignment horizontal="left" vertical="center"/>
      <protection locked="0"/>
    </xf>
    <xf numFmtId="0" fontId="5" fillId="32" borderId="57" xfId="0" applyFont="1" applyFill="1" applyBorder="1" applyAlignment="1" applyProtection="1">
      <alignment horizontal="left" vertical="center"/>
      <protection locked="0"/>
    </xf>
    <xf numFmtId="0" fontId="5" fillId="32" borderId="55" xfId="0" applyFont="1" applyFill="1" applyBorder="1" applyAlignment="1" applyProtection="1">
      <alignment horizontal="center" vertical="center"/>
      <protection locked="0"/>
    </xf>
    <xf numFmtId="0" fontId="5" fillId="32" borderId="159" xfId="0" applyFont="1" applyFill="1" applyBorder="1" applyAlignment="1" applyProtection="1">
      <alignment horizontal="center" vertical="center"/>
      <protection locked="0"/>
    </xf>
    <xf numFmtId="0" fontId="4" fillId="30" borderId="12" xfId="0" applyFont="1" applyFill="1" applyBorder="1" applyAlignment="1" applyProtection="1">
      <alignment horizontal="center" vertical="center"/>
      <protection locked="0"/>
    </xf>
    <xf numFmtId="0" fontId="4" fillId="30" borderId="18" xfId="0" applyFont="1" applyFill="1" applyBorder="1" applyAlignment="1" applyProtection="1">
      <alignment horizontal="center" vertical="center"/>
      <protection locked="0"/>
    </xf>
    <xf numFmtId="0" fontId="4" fillId="30" borderId="13" xfId="0" applyFont="1" applyFill="1" applyBorder="1" applyAlignment="1" applyProtection="1">
      <alignment horizontal="center" vertical="center"/>
      <protection locked="0"/>
    </xf>
    <xf numFmtId="176" fontId="4" fillId="33" borderId="162" xfId="0" applyNumberFormat="1" applyFont="1" applyFill="1" applyBorder="1" applyAlignment="1" applyProtection="1" quotePrefix="1">
      <alignment vertical="top" wrapText="1"/>
      <protection locked="0"/>
    </xf>
    <xf numFmtId="176" fontId="56" fillId="33" borderId="163" xfId="0" applyNumberFormat="1" applyFont="1" applyFill="1" applyBorder="1" applyAlignment="1" applyProtection="1">
      <alignment vertical="top" wrapText="1"/>
      <protection locked="0"/>
    </xf>
    <xf numFmtId="176" fontId="56" fillId="33" borderId="39" xfId="0" applyNumberFormat="1" applyFont="1" applyFill="1" applyBorder="1" applyAlignment="1" applyProtection="1">
      <alignment vertical="top" wrapText="1"/>
      <protection locked="0"/>
    </xf>
    <xf numFmtId="176" fontId="4" fillId="30" borderId="103" xfId="0" applyNumberFormat="1" applyFont="1" applyFill="1" applyBorder="1" applyAlignment="1" applyProtection="1">
      <alignment vertical="center"/>
      <protection locked="0"/>
    </xf>
    <xf numFmtId="176" fontId="4" fillId="30" borderId="49" xfId="0" applyNumberFormat="1" applyFont="1" applyFill="1" applyBorder="1" applyAlignment="1" applyProtection="1">
      <alignment vertical="center"/>
      <protection locked="0"/>
    </xf>
    <xf numFmtId="176" fontId="4" fillId="30" borderId="33" xfId="0" applyNumberFormat="1" applyFont="1" applyFill="1" applyBorder="1" applyAlignment="1" applyProtection="1" quotePrefix="1">
      <alignment horizontal="left" vertical="center" wrapText="1"/>
      <protection locked="0"/>
    </xf>
    <xf numFmtId="176" fontId="4" fillId="30" borderId="33" xfId="0" applyNumberFormat="1" applyFont="1" applyFill="1" applyBorder="1" applyAlignment="1" applyProtection="1">
      <alignment vertical="center" wrapText="1"/>
      <protection locked="0"/>
    </xf>
    <xf numFmtId="176" fontId="6" fillId="30" borderId="33" xfId="0" applyNumberFormat="1" applyFont="1" applyFill="1" applyBorder="1" applyAlignment="1" applyProtection="1" quotePrefix="1">
      <alignment horizontal="left" vertical="top" wrapText="1"/>
      <protection locked="0"/>
    </xf>
    <xf numFmtId="176" fontId="6" fillId="30" borderId="33" xfId="0" applyNumberFormat="1" applyFont="1" applyFill="1" applyBorder="1" applyAlignment="1" applyProtection="1">
      <alignment vertical="top" wrapText="1"/>
      <protection locked="0"/>
    </xf>
    <xf numFmtId="176" fontId="4" fillId="30" borderId="34" xfId="0" applyNumberFormat="1" applyFont="1" applyFill="1" applyBorder="1" applyAlignment="1" applyProtection="1" quotePrefix="1">
      <alignment horizontal="left" vertical="top" wrapText="1"/>
      <protection locked="0"/>
    </xf>
    <xf numFmtId="176" fontId="4" fillId="30" borderId="164" xfId="0" applyNumberFormat="1" applyFont="1" applyFill="1" applyBorder="1" applyAlignment="1" applyProtection="1">
      <alignment vertical="top" wrapText="1"/>
      <protection locked="0"/>
    </xf>
    <xf numFmtId="176" fontId="4" fillId="33" borderId="165" xfId="0" applyNumberFormat="1" applyFont="1" applyFill="1" applyBorder="1" applyAlignment="1" applyProtection="1" quotePrefix="1">
      <alignment horizontal="left" vertical="center" wrapText="1"/>
      <protection locked="0"/>
    </xf>
    <xf numFmtId="176" fontId="56" fillId="33" borderId="166" xfId="0" applyNumberFormat="1" applyFont="1" applyFill="1" applyBorder="1" applyAlignment="1" applyProtection="1">
      <alignment vertical="center"/>
      <protection locked="0"/>
    </xf>
    <xf numFmtId="176" fontId="56" fillId="33" borderId="167" xfId="0" applyNumberFormat="1" applyFont="1" applyFill="1" applyBorder="1" applyAlignment="1" applyProtection="1">
      <alignment vertical="center"/>
      <protection locked="0"/>
    </xf>
    <xf numFmtId="176" fontId="56" fillId="33" borderId="168" xfId="0" applyNumberFormat="1" applyFont="1" applyFill="1" applyBorder="1" applyAlignment="1" applyProtection="1">
      <alignment vertical="center"/>
      <protection locked="0"/>
    </xf>
    <xf numFmtId="176" fontId="6" fillId="30" borderId="169" xfId="0" applyNumberFormat="1" applyFont="1" applyFill="1" applyBorder="1" applyAlignment="1" applyProtection="1" quotePrefix="1">
      <alignment horizontal="left" vertical="top" wrapText="1"/>
      <protection locked="0"/>
    </xf>
    <xf numFmtId="176" fontId="6" fillId="30" borderId="169" xfId="0" applyNumberFormat="1" applyFont="1" applyFill="1" applyBorder="1" applyAlignment="1" applyProtection="1">
      <alignment vertical="top" wrapText="1"/>
      <protection locked="0"/>
    </xf>
    <xf numFmtId="176" fontId="6" fillId="30" borderId="103" xfId="0" applyNumberFormat="1" applyFont="1" applyFill="1" applyBorder="1" applyAlignment="1" applyProtection="1" quotePrefix="1">
      <alignment horizontal="left" vertical="center" wrapText="1"/>
      <protection locked="0"/>
    </xf>
    <xf numFmtId="176" fontId="6" fillId="30" borderId="170" xfId="0" applyNumberFormat="1" applyFont="1" applyFill="1" applyBorder="1" applyAlignment="1" applyProtection="1">
      <alignment vertical="center" wrapText="1"/>
      <protection locked="0"/>
    </xf>
    <xf numFmtId="176" fontId="6" fillId="30" borderId="33" xfId="0" applyNumberFormat="1" applyFont="1" applyFill="1" applyBorder="1" applyAlignment="1" applyProtection="1" quotePrefix="1">
      <alignment horizontal="left" vertical="center" wrapText="1"/>
      <protection locked="0"/>
    </xf>
    <xf numFmtId="176" fontId="6" fillId="30" borderId="33" xfId="0" applyNumberFormat="1" applyFont="1" applyFill="1" applyBorder="1" applyAlignment="1" applyProtection="1">
      <alignment vertical="center" wrapText="1"/>
      <protection locked="0"/>
    </xf>
    <xf numFmtId="176" fontId="6" fillId="30" borderId="33" xfId="0" applyNumberFormat="1" applyFont="1" applyFill="1" applyBorder="1" applyAlignment="1" applyProtection="1">
      <alignment vertical="center"/>
      <protection locked="0"/>
    </xf>
    <xf numFmtId="176" fontId="4" fillId="30" borderId="162" xfId="0" applyNumberFormat="1" applyFont="1" applyFill="1" applyBorder="1" applyAlignment="1" applyProtection="1" quotePrefix="1">
      <alignment horizontal="left" vertical="top" wrapText="1"/>
      <protection locked="0"/>
    </xf>
    <xf numFmtId="176" fontId="4" fillId="30" borderId="163" xfId="0" applyNumberFormat="1" applyFont="1" applyFill="1" applyBorder="1" applyAlignment="1" applyProtection="1">
      <alignment vertical="top" wrapText="1"/>
      <protection locked="0"/>
    </xf>
    <xf numFmtId="176" fontId="4" fillId="0" borderId="39" xfId="0" applyNumberFormat="1" applyFont="1" applyBorder="1" applyAlignment="1" applyProtection="1">
      <alignment vertical="top" wrapText="1"/>
      <protection locked="0"/>
    </xf>
    <xf numFmtId="176" fontId="6" fillId="30" borderId="34" xfId="0" applyNumberFormat="1" applyFont="1" applyFill="1" applyBorder="1" applyAlignment="1" applyProtection="1" quotePrefix="1">
      <alignment horizontal="left" vertical="top" wrapText="1"/>
      <protection locked="0"/>
    </xf>
    <xf numFmtId="176" fontId="6" fillId="30" borderId="164" xfId="0" applyNumberFormat="1" applyFont="1" applyFill="1" applyBorder="1" applyAlignment="1" applyProtection="1">
      <alignment vertical="top" wrapText="1"/>
      <protection locked="0"/>
    </xf>
    <xf numFmtId="176" fontId="4" fillId="30" borderId="171" xfId="0" applyNumberFormat="1" applyFont="1" applyFill="1" applyBorder="1" applyAlignment="1" applyProtection="1">
      <alignment vertical="top" wrapText="1"/>
      <protection locked="0"/>
    </xf>
    <xf numFmtId="176" fontId="4" fillId="30" borderId="33" xfId="0" applyNumberFormat="1" applyFont="1" applyFill="1" applyBorder="1" applyAlignment="1" applyProtection="1" quotePrefix="1">
      <alignment horizontal="left" vertical="top" wrapText="1"/>
      <protection locked="0"/>
    </xf>
    <xf numFmtId="176" fontId="4" fillId="30" borderId="33" xfId="0" applyNumberFormat="1" applyFont="1" applyFill="1" applyBorder="1" applyAlignment="1" applyProtection="1">
      <alignment vertical="top" wrapText="1"/>
      <protection locked="0"/>
    </xf>
    <xf numFmtId="176" fontId="6" fillId="30" borderId="33" xfId="0" applyNumberFormat="1" applyFont="1" applyFill="1" applyBorder="1" applyAlignment="1" applyProtection="1" quotePrefix="1">
      <alignment horizontal="left" vertical="center"/>
      <protection locked="0"/>
    </xf>
    <xf numFmtId="0" fontId="59" fillId="37" borderId="172" xfId="0" applyNumberFormat="1" applyFont="1" applyFill="1" applyBorder="1" applyAlignment="1" applyProtection="1">
      <alignment horizontal="left" vertical="center" indent="1"/>
      <protection/>
    </xf>
    <xf numFmtId="0" fontId="59" fillId="37" borderId="112" xfId="0" applyFont="1" applyFill="1" applyBorder="1" applyAlignment="1" applyProtection="1">
      <alignment horizontal="left" vertical="center" indent="1"/>
      <protection/>
    </xf>
    <xf numFmtId="0" fontId="59" fillId="37" borderId="173" xfId="0" applyFont="1" applyFill="1" applyBorder="1" applyAlignment="1" applyProtection="1">
      <alignment horizontal="left" vertical="center" indent="1"/>
      <protection/>
    </xf>
    <xf numFmtId="176" fontId="6" fillId="30" borderId="174" xfId="0" applyNumberFormat="1" applyFont="1" applyFill="1" applyBorder="1" applyAlignment="1" applyProtection="1" quotePrefix="1">
      <alignment horizontal="left" vertical="center"/>
      <protection locked="0"/>
    </xf>
    <xf numFmtId="176" fontId="6" fillId="30" borderId="31" xfId="0" applyNumberFormat="1" applyFont="1" applyFill="1" applyBorder="1" applyAlignment="1" applyProtection="1">
      <alignment vertical="center"/>
      <protection locked="0"/>
    </xf>
    <xf numFmtId="176" fontId="4" fillId="30" borderId="174" xfId="0" applyNumberFormat="1" applyFont="1" applyFill="1" applyBorder="1" applyAlignment="1" applyProtection="1" quotePrefix="1">
      <alignment horizontal="left" vertical="center"/>
      <protection locked="0"/>
    </xf>
    <xf numFmtId="176" fontId="4" fillId="30" borderId="31" xfId="0" applyNumberFormat="1" applyFont="1" applyFill="1" applyBorder="1" applyAlignment="1" applyProtection="1">
      <alignment vertical="center"/>
      <protection locked="0"/>
    </xf>
    <xf numFmtId="176" fontId="4" fillId="30" borderId="175" xfId="0" applyNumberFormat="1" applyFont="1" applyFill="1" applyBorder="1" applyAlignment="1" applyProtection="1" quotePrefix="1">
      <alignment horizontal="left" vertical="top" wrapText="1"/>
      <protection locked="0"/>
    </xf>
    <xf numFmtId="176" fontId="4" fillId="30" borderId="175" xfId="0" applyNumberFormat="1" applyFont="1" applyFill="1" applyBorder="1" applyAlignment="1" applyProtection="1">
      <alignment vertical="top" wrapText="1"/>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quotePrefix="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機械代価表_s" xfId="62"/>
    <cellStyle name="Followed Hyperlink" xfId="63"/>
    <cellStyle name="良い" xfId="64"/>
  </cellStyles>
  <dxfs count="13">
    <dxf/>
    <dxf/>
    <dxf>
      <fill>
        <patternFill>
          <bgColor theme="0"/>
        </patternFill>
      </fill>
    </dxf>
    <dxf>
      <fill>
        <patternFill>
          <bgColor indexed="9"/>
        </patternFill>
      </fill>
    </dxf>
    <dxf>
      <fill>
        <patternFill>
          <bgColor indexed="9"/>
        </patternFill>
      </fill>
    </dxf>
    <dxf>
      <fill>
        <patternFill patternType="solid">
          <bgColor indexed="9"/>
        </patternFill>
      </fill>
    </dxf>
    <dxf>
      <fill>
        <patternFill>
          <bgColor theme="0"/>
        </patternFill>
      </fill>
    </dxf>
    <dxf>
      <fill>
        <patternFill>
          <bgColor indexed="9"/>
        </patternFill>
      </fill>
    </dxf>
    <dxf>
      <fill>
        <patternFill>
          <bgColor indexed="9"/>
        </patternFill>
      </fill>
    </dxf>
    <dxf>
      <fill>
        <patternFill>
          <bgColor indexed="9"/>
        </patternFill>
      </fill>
    </dxf>
    <dxf>
      <fill>
        <patternFill>
          <bgColor indexed="9"/>
        </patternFill>
      </fill>
    </dxf>
    <dxf>
      <numFmt numFmtId="191" formatCode="[$-F800]dddd\,\ mmmm\ dd\,\ yyyy"/>
      <border/>
    </dxf>
    <dxf>
      <numFmt numFmtId="180" formatCode="[$-411]ggge&quot;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DC"/>
      <rgbColor rgb="00DCFFFF"/>
      <rgbColor rgb="00FFDCFF"/>
      <rgbColor rgb="00DCFFD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B1:J35"/>
  <sheetViews>
    <sheetView showZeros="0" tabSelected="1" zoomScale="90" zoomScaleNormal="90" zoomScalePageLayoutView="0" workbookViewId="0" topLeftCell="A1">
      <selection activeCell="A1" sqref="A1"/>
    </sheetView>
  </sheetViews>
  <sheetFormatPr defaultColWidth="11.00390625" defaultRowHeight="24" customHeight="1"/>
  <cols>
    <col min="1" max="1" width="2.57421875" style="186" customWidth="1"/>
    <col min="2" max="2" width="6.57421875" style="187" customWidth="1"/>
    <col min="3" max="3" width="14.57421875" style="187" customWidth="1"/>
    <col min="4" max="4" width="50.57421875" style="187" customWidth="1"/>
    <col min="5" max="5" width="30.57421875" style="187" customWidth="1"/>
    <col min="6" max="6" width="9.140625" style="186" customWidth="1"/>
    <col min="7" max="7" width="24.57421875" style="186" customWidth="1"/>
    <col min="8" max="8" width="16.57421875" style="186" customWidth="1"/>
    <col min="9" max="9" width="12.57421875" style="187" customWidth="1"/>
    <col min="10" max="10" width="20.57421875" style="188" customWidth="1"/>
    <col min="11" max="11" width="2.140625" style="187" customWidth="1"/>
    <col min="12" max="16384" width="11.00390625" style="186" customWidth="1"/>
  </cols>
  <sheetData>
    <row r="1" spans="3:5" ht="31.5" customHeight="1">
      <c r="C1" s="274" t="s">
        <v>221</v>
      </c>
      <c r="D1" s="275" t="s">
        <v>223</v>
      </c>
      <c r="E1" s="207" t="s">
        <v>222</v>
      </c>
    </row>
    <row r="2" spans="2:10" ht="24" customHeight="1">
      <c r="B2" s="189" t="s">
        <v>184</v>
      </c>
      <c r="C2" s="190" t="s">
        <v>185</v>
      </c>
      <c r="D2" s="190" t="s">
        <v>186</v>
      </c>
      <c r="E2" s="190" t="s">
        <v>187</v>
      </c>
      <c r="F2" s="190" t="s">
        <v>180</v>
      </c>
      <c r="G2" s="190" t="s">
        <v>181</v>
      </c>
      <c r="H2" s="195" t="s">
        <v>190</v>
      </c>
      <c r="I2" s="190" t="s">
        <v>183</v>
      </c>
      <c r="J2" s="191" t="s">
        <v>188</v>
      </c>
    </row>
    <row r="3" spans="2:10" ht="24" customHeight="1" hidden="1">
      <c r="B3" s="203"/>
      <c r="C3" s="196"/>
      <c r="D3" s="199"/>
      <c r="E3" s="197"/>
      <c r="F3" s="205"/>
      <c r="G3" s="197"/>
      <c r="H3" s="197"/>
      <c r="I3" s="198"/>
      <c r="J3" s="201"/>
    </row>
    <row r="4" spans="2:10" ht="24" customHeight="1">
      <c r="B4" s="204" t="s">
        <v>189</v>
      </c>
      <c r="C4" s="192"/>
      <c r="D4" s="200"/>
      <c r="E4" s="193"/>
      <c r="F4" s="206"/>
      <c r="G4" s="193"/>
      <c r="H4" s="193"/>
      <c r="I4" s="194"/>
      <c r="J4" s="202"/>
    </row>
    <row r="5" ht="6" customHeight="1"/>
    <row r="6" spans="3:9" ht="24" customHeight="1">
      <c r="C6" s="241" t="s">
        <v>219</v>
      </c>
      <c r="E6" s="277" t="s">
        <v>229</v>
      </c>
      <c r="F6" s="278">
        <v>29</v>
      </c>
      <c r="G6" s="277" t="s">
        <v>230</v>
      </c>
      <c r="H6" s="279">
        <v>30000</v>
      </c>
      <c r="I6" s="273" t="s">
        <v>220</v>
      </c>
    </row>
    <row r="7" spans="3:7" ht="24" customHeight="1">
      <c r="C7" s="241"/>
      <c r="E7" s="277" t="s">
        <v>248</v>
      </c>
      <c r="F7" s="278">
        <v>8</v>
      </c>
      <c r="G7" s="304" t="s">
        <v>250</v>
      </c>
    </row>
    <row r="9" spans="2:6" ht="24" customHeight="1">
      <c r="B9" s="323" t="s">
        <v>327</v>
      </c>
      <c r="C9" s="321"/>
      <c r="D9" s="321"/>
      <c r="E9" s="321"/>
      <c r="F9" s="322"/>
    </row>
    <row r="10" spans="2:6" ht="15.75" customHeight="1">
      <c r="B10" s="324" t="s">
        <v>328</v>
      </c>
      <c r="C10" s="321"/>
      <c r="D10" s="321"/>
      <c r="E10" s="321"/>
      <c r="F10" s="322"/>
    </row>
    <row r="11" spans="2:6" ht="15.75" customHeight="1">
      <c r="B11" s="324" t="s">
        <v>329</v>
      </c>
      <c r="C11" s="321"/>
      <c r="D11" s="321"/>
      <c r="E11" s="321"/>
      <c r="F11" s="322"/>
    </row>
    <row r="12" spans="2:6" ht="24" customHeight="1">
      <c r="B12" s="325" t="s">
        <v>200</v>
      </c>
      <c r="C12" s="269"/>
      <c r="D12" s="270"/>
      <c r="E12" s="270"/>
      <c r="F12" s="271"/>
    </row>
    <row r="13" spans="2:6" ht="24" customHeight="1">
      <c r="B13" s="269"/>
      <c r="C13" s="269" t="s">
        <v>224</v>
      </c>
      <c r="D13" s="270"/>
      <c r="E13" s="270"/>
      <c r="F13" s="271"/>
    </row>
    <row r="14" spans="2:6" ht="24" customHeight="1">
      <c r="B14" s="269"/>
      <c r="C14" s="272" t="s">
        <v>238</v>
      </c>
      <c r="D14" s="270"/>
      <c r="E14" s="270"/>
      <c r="F14" s="271"/>
    </row>
    <row r="15" spans="2:6" ht="24" customHeight="1">
      <c r="B15" s="269"/>
      <c r="C15" s="272" t="s">
        <v>239</v>
      </c>
      <c r="D15" s="270"/>
      <c r="E15" s="270"/>
      <c r="F15" s="271"/>
    </row>
    <row r="16" spans="2:6" ht="24" customHeight="1">
      <c r="B16" s="269"/>
      <c r="C16" s="272" t="s">
        <v>240</v>
      </c>
      <c r="D16" s="270"/>
      <c r="E16" s="270"/>
      <c r="F16" s="271"/>
    </row>
    <row r="17" spans="2:6" ht="24" customHeight="1">
      <c r="B17" s="269"/>
      <c r="C17" s="272" t="s">
        <v>241</v>
      </c>
      <c r="D17" s="270"/>
      <c r="E17" s="270"/>
      <c r="F17" s="271"/>
    </row>
    <row r="18" spans="2:6" ht="24" customHeight="1">
      <c r="B18" s="269"/>
      <c r="C18" s="272" t="s">
        <v>242</v>
      </c>
      <c r="D18" s="270"/>
      <c r="E18" s="270"/>
      <c r="F18" s="271"/>
    </row>
    <row r="19" spans="2:6" ht="24" customHeight="1">
      <c r="B19" s="269"/>
      <c r="C19" s="269" t="s">
        <v>210</v>
      </c>
      <c r="D19" s="270"/>
      <c r="E19" s="270"/>
      <c r="F19" s="271"/>
    </row>
    <row r="20" spans="2:6" ht="24" customHeight="1">
      <c r="B20" s="269"/>
      <c r="C20" s="272" t="s">
        <v>243</v>
      </c>
      <c r="D20" s="270"/>
      <c r="E20" s="270"/>
      <c r="F20" s="271"/>
    </row>
    <row r="21" spans="2:6" ht="24" customHeight="1">
      <c r="B21" s="269"/>
      <c r="C21" s="269" t="s">
        <v>211</v>
      </c>
      <c r="D21" s="270"/>
      <c r="E21" s="270"/>
      <c r="F21" s="271"/>
    </row>
    <row r="22" spans="2:6" ht="24" customHeight="1">
      <c r="B22" s="269"/>
      <c r="C22" s="269" t="s">
        <v>212</v>
      </c>
      <c r="D22" s="270"/>
      <c r="E22" s="270"/>
      <c r="F22" s="271"/>
    </row>
    <row r="23" spans="2:6" ht="24" customHeight="1">
      <c r="B23" s="269"/>
      <c r="C23" s="272" t="s">
        <v>213</v>
      </c>
      <c r="D23" s="270"/>
      <c r="E23" s="270"/>
      <c r="F23" s="271"/>
    </row>
    <row r="24" spans="2:6" ht="24" customHeight="1">
      <c r="B24" s="269"/>
      <c r="C24" s="272" t="s">
        <v>225</v>
      </c>
      <c r="D24" s="270"/>
      <c r="E24" s="270"/>
      <c r="F24" s="271"/>
    </row>
    <row r="25" spans="2:6" ht="24" customHeight="1">
      <c r="B25" s="269"/>
      <c r="C25" s="272" t="s">
        <v>226</v>
      </c>
      <c r="D25" s="270"/>
      <c r="E25" s="270"/>
      <c r="F25" s="271"/>
    </row>
    <row r="26" spans="2:6" ht="24" customHeight="1">
      <c r="B26" s="269"/>
      <c r="C26" s="272" t="s">
        <v>227</v>
      </c>
      <c r="D26" s="270"/>
      <c r="E26" s="270"/>
      <c r="F26" s="271"/>
    </row>
    <row r="27" spans="2:6" ht="24" customHeight="1">
      <c r="B27" s="269"/>
      <c r="C27" s="276" t="s">
        <v>228</v>
      </c>
      <c r="D27" s="270"/>
      <c r="E27" s="270"/>
      <c r="F27" s="271"/>
    </row>
    <row r="28" spans="2:6" ht="24" customHeight="1">
      <c r="B28" s="269"/>
      <c r="C28" s="272"/>
      <c r="D28" s="270"/>
      <c r="E28" s="270"/>
      <c r="F28" s="271"/>
    </row>
    <row r="29" spans="2:6" ht="24" customHeight="1">
      <c r="B29" s="269"/>
      <c r="C29" s="272" t="s">
        <v>214</v>
      </c>
      <c r="D29" s="270"/>
      <c r="E29" s="270"/>
      <c r="F29" s="271"/>
    </row>
    <row r="30" spans="2:6" ht="24" customHeight="1">
      <c r="B30" s="269"/>
      <c r="C30" s="269" t="s">
        <v>215</v>
      </c>
      <c r="D30" s="270"/>
      <c r="E30" s="270"/>
      <c r="F30" s="271"/>
    </row>
    <row r="31" spans="2:6" ht="24" customHeight="1">
      <c r="B31" s="269"/>
      <c r="C31" s="272" t="s">
        <v>216</v>
      </c>
      <c r="D31" s="270"/>
      <c r="E31" s="270"/>
      <c r="F31" s="271"/>
    </row>
    <row r="32" spans="2:6" ht="24" customHeight="1">
      <c r="B32" s="269"/>
      <c r="C32" s="272" t="s">
        <v>217</v>
      </c>
      <c r="D32" s="270"/>
      <c r="E32" s="270"/>
      <c r="F32" s="271"/>
    </row>
    <row r="33" spans="2:6" ht="24" customHeight="1">
      <c r="B33" s="269"/>
      <c r="C33" s="272" t="s">
        <v>218</v>
      </c>
      <c r="D33" s="270"/>
      <c r="E33" s="270"/>
      <c r="F33" s="271"/>
    </row>
    <row r="34" spans="2:6" ht="24" customHeight="1">
      <c r="B34" s="269"/>
      <c r="C34" s="269"/>
      <c r="D34" s="270"/>
      <c r="E34" s="270"/>
      <c r="F34" s="271"/>
    </row>
    <row r="35" spans="2:3" ht="24" customHeight="1">
      <c r="B35" s="240"/>
      <c r="C35" s="240"/>
    </row>
  </sheetData>
  <sheetProtection/>
  <dataValidations count="1">
    <dataValidation type="whole" allowBlank="1" showErrorMessage="1" error="整数を入力してください" imeMode="off" sqref="F7">
      <formula1>1</formula1>
      <formula2>15</formula2>
    </dataValidation>
  </dataValidations>
  <printOptions/>
  <pageMargins left="0.75" right="0.75" top="1" bottom="1"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5"/>
  <dimension ref="B1:AR132"/>
  <sheetViews>
    <sheetView zoomScalePageLayoutView="0" workbookViewId="0" topLeftCell="A1">
      <selection activeCell="A1" sqref="A1"/>
    </sheetView>
  </sheetViews>
  <sheetFormatPr defaultColWidth="8.57421875" defaultRowHeight="19.5" customHeight="1"/>
  <cols>
    <col min="1" max="1" width="2.57421875" style="5" customWidth="1"/>
    <col min="2" max="2" width="4.57421875" style="5" customWidth="1"/>
    <col min="3" max="3" width="22.57421875" style="5" customWidth="1"/>
    <col min="4" max="12" width="10.140625" style="5" customWidth="1"/>
    <col min="13" max="13" width="3.57421875" style="5" customWidth="1"/>
    <col min="14" max="14" width="2.57421875" style="5" customWidth="1"/>
    <col min="15" max="17" width="8.57421875" style="5" hidden="1" customWidth="1"/>
    <col min="18" max="18" width="2.57421875" style="5" hidden="1" customWidth="1"/>
    <col min="19" max="19" width="28.57421875" style="5" hidden="1" customWidth="1"/>
    <col min="20" max="20" width="5.57421875" style="14" hidden="1" customWidth="1"/>
    <col min="21" max="21" width="2.57421875" style="5" hidden="1" customWidth="1"/>
    <col min="22" max="22" width="28.57421875" style="5" hidden="1" customWidth="1"/>
    <col min="23" max="23" width="5.57421875" style="14" hidden="1" customWidth="1"/>
    <col min="24" max="24" width="2.57421875" style="5" hidden="1" customWidth="1"/>
    <col min="25" max="26" width="8.57421875" style="5" hidden="1" customWidth="1"/>
    <col min="27" max="27" width="2.57421875" style="5" hidden="1" customWidth="1"/>
    <col min="28" max="28" width="20.57421875" style="5" hidden="1" customWidth="1"/>
    <col min="29" max="29" width="5.57421875" style="14" hidden="1" customWidth="1"/>
    <col min="30" max="30" width="2.57421875" style="5" hidden="1" customWidth="1"/>
    <col min="31" max="31" width="20.57421875" style="5" hidden="1" customWidth="1"/>
    <col min="32" max="32" width="5.57421875" style="5" hidden="1" customWidth="1"/>
    <col min="33" max="33" width="2.57421875" style="5" hidden="1" customWidth="1"/>
    <col min="34" max="34" width="36.57421875" style="5" hidden="1" customWidth="1"/>
    <col min="35" max="35" width="5.57421875" style="5" hidden="1" customWidth="1"/>
    <col min="36" max="36" width="2.57421875" style="5" hidden="1" customWidth="1"/>
    <col min="37" max="41" width="4.57421875" style="5" hidden="1" customWidth="1"/>
    <col min="42" max="16384" width="8.57421875" style="5" customWidth="1"/>
  </cols>
  <sheetData>
    <row r="1" spans="3:12" ht="31.5" customHeight="1">
      <c r="C1" s="127" t="s">
        <v>158</v>
      </c>
      <c r="D1" s="127"/>
      <c r="E1" s="127" t="s">
        <v>246</v>
      </c>
      <c r="K1" s="306" t="s">
        <v>249</v>
      </c>
      <c r="L1" s="303" t="s">
        <v>247</v>
      </c>
    </row>
    <row r="2" spans="2:13" ht="9.75" customHeight="1">
      <c r="B2" s="11"/>
      <c r="C2" s="11"/>
      <c r="D2" s="11"/>
      <c r="E2" s="11"/>
      <c r="F2" s="11"/>
      <c r="G2" s="11"/>
      <c r="H2" s="11"/>
      <c r="I2" s="11"/>
      <c r="J2" s="11"/>
      <c r="K2" s="11"/>
      <c r="L2" s="11"/>
      <c r="M2" s="11"/>
    </row>
    <row r="3" spans="2:13" ht="18" customHeight="1">
      <c r="B3" s="11"/>
      <c r="C3" s="114" t="s">
        <v>169</v>
      </c>
      <c r="D3" s="11"/>
      <c r="E3" s="13"/>
      <c r="F3" s="11"/>
      <c r="G3" s="11"/>
      <c r="H3" s="11"/>
      <c r="I3" s="11"/>
      <c r="J3" s="11"/>
      <c r="K3" s="11"/>
      <c r="L3" s="11"/>
      <c r="M3" s="11"/>
    </row>
    <row r="4" spans="2:13" ht="6" customHeight="1">
      <c r="B4" s="11"/>
      <c r="C4" s="129"/>
      <c r="D4" s="129"/>
      <c r="E4" s="130"/>
      <c r="F4" s="130"/>
      <c r="G4" s="130"/>
      <c r="H4" s="130"/>
      <c r="I4" s="130"/>
      <c r="J4" s="130"/>
      <c r="K4" s="130"/>
      <c r="L4" s="11"/>
      <c r="M4" s="11"/>
    </row>
    <row r="5" spans="2:43" ht="18" customHeight="1">
      <c r="B5" s="11"/>
      <c r="C5" s="252" t="s">
        <v>147</v>
      </c>
      <c r="D5" s="453"/>
      <c r="E5" s="454"/>
      <c r="F5" s="454"/>
      <c r="G5" s="454"/>
      <c r="H5" s="454"/>
      <c r="I5" s="454"/>
      <c r="J5" s="454"/>
      <c r="K5" s="455"/>
      <c r="L5" s="11"/>
      <c r="M5" s="11"/>
      <c r="AQ5" s="305"/>
    </row>
    <row r="6" spans="2:43" ht="18" customHeight="1">
      <c r="B6" s="11"/>
      <c r="C6" s="252" t="s">
        <v>148</v>
      </c>
      <c r="D6" s="453"/>
      <c r="E6" s="454"/>
      <c r="F6" s="454"/>
      <c r="G6" s="454"/>
      <c r="H6" s="454"/>
      <c r="I6" s="454"/>
      <c r="J6" s="454"/>
      <c r="K6" s="455"/>
      <c r="L6" s="11"/>
      <c r="M6" s="11"/>
      <c r="AQ6" s="127"/>
    </row>
    <row r="7" spans="2:43" ht="18" customHeight="1">
      <c r="B7" s="11"/>
      <c r="C7" s="252" t="s">
        <v>149</v>
      </c>
      <c r="D7" s="456" t="s">
        <v>136</v>
      </c>
      <c r="E7" s="457"/>
      <c r="F7" s="458"/>
      <c r="G7" s="459"/>
      <c r="H7" s="135"/>
      <c r="I7" s="136"/>
      <c r="J7" s="136"/>
      <c r="K7" s="137"/>
      <c r="L7" s="11"/>
      <c r="M7" s="11"/>
      <c r="O7" s="101" t="s">
        <v>144</v>
      </c>
      <c r="AQ7" s="127"/>
    </row>
    <row r="8" spans="2:44" ht="18" customHeight="1">
      <c r="B8" s="11"/>
      <c r="C8" s="252" t="s">
        <v>150</v>
      </c>
      <c r="D8" s="460"/>
      <c r="E8" s="461"/>
      <c r="F8" s="138" t="s">
        <v>137</v>
      </c>
      <c r="G8" s="139" t="s">
        <v>146</v>
      </c>
      <c r="H8" s="149"/>
      <c r="I8" s="138" t="s">
        <v>138</v>
      </c>
      <c r="J8" s="136"/>
      <c r="K8" s="137"/>
      <c r="L8" s="11"/>
      <c r="M8" s="11"/>
      <c r="O8" s="111" t="s">
        <v>145</v>
      </c>
      <c r="AR8" s="127"/>
    </row>
    <row r="9" spans="2:44" ht="18" customHeight="1">
      <c r="B9" s="11"/>
      <c r="C9" s="427" t="s">
        <v>151</v>
      </c>
      <c r="D9" s="462" t="s">
        <v>35</v>
      </c>
      <c r="E9" s="463"/>
      <c r="F9" s="463"/>
      <c r="G9" s="464"/>
      <c r="H9" s="462" t="s">
        <v>36</v>
      </c>
      <c r="I9" s="463"/>
      <c r="J9" s="463"/>
      <c r="K9" s="464"/>
      <c r="L9" s="11"/>
      <c r="M9" s="11"/>
      <c r="O9" s="153"/>
      <c r="AR9" s="127"/>
    </row>
    <row r="10" spans="2:44" ht="18" customHeight="1">
      <c r="B10" s="11"/>
      <c r="C10" s="429"/>
      <c r="D10" s="445"/>
      <c r="E10" s="445"/>
      <c r="F10" s="445"/>
      <c r="G10" s="445"/>
      <c r="H10" s="445"/>
      <c r="I10" s="445"/>
      <c r="J10" s="445"/>
      <c r="K10" s="445"/>
      <c r="L10" s="11"/>
      <c r="M10" s="11"/>
      <c r="O10" s="62">
        <f>IF(OR(ISTEXT(O12),AND(ISTEXT(D10),ISTEXT(H10))),"",IF(ISTEXT(D10),"Data_1",IF(ISTEXT(H10),"Data_2","")))</f>
      </c>
      <c r="P10" s="164">
        <f>IF(O12="Data_9",1,"")</f>
      </c>
      <c r="Q10" s="169"/>
      <c r="AR10" s="127"/>
    </row>
    <row r="11" spans="2:44" ht="18" customHeight="1">
      <c r="B11" s="11"/>
      <c r="C11" s="134" t="s">
        <v>37</v>
      </c>
      <c r="D11" s="442"/>
      <c r="E11" s="443"/>
      <c r="F11" s="148" t="s">
        <v>201</v>
      </c>
      <c r="G11" s="147"/>
      <c r="H11" s="338" t="s">
        <v>155</v>
      </c>
      <c r="I11" s="338"/>
      <c r="J11" s="444">
        <f>IF(I68="","",I68)</f>
      </c>
      <c r="K11" s="444"/>
      <c r="L11" s="11"/>
      <c r="M11" s="11"/>
      <c r="O11" s="58">
        <f>IF(D11="","",VLOOKUP(D11,Y74:Z79,2))</f>
      </c>
      <c r="P11" s="164"/>
      <c r="Q11" s="169"/>
      <c r="AR11" s="127"/>
    </row>
    <row r="12" spans="2:44" ht="6" customHeight="1">
      <c r="B12" s="11"/>
      <c r="C12" s="11"/>
      <c r="D12" s="11"/>
      <c r="E12" s="11"/>
      <c r="F12" s="11"/>
      <c r="G12" s="11"/>
      <c r="H12" s="11"/>
      <c r="I12" s="11"/>
      <c r="J12" s="11"/>
      <c r="K12" s="11"/>
      <c r="L12" s="11"/>
      <c r="M12" s="11"/>
      <c r="O12" s="62">
        <f>IF(ISTEXT(H10),0,IF(COUNTIF(S76:S122,D10)=0,0,VLOOKUP(D10,S76:T122,2,FALSE)))</f>
        <v>0</v>
      </c>
      <c r="P12" s="62">
        <f>IF(ISTEXT(D10),0,IF(COUNTIF(V76:V117,H10)=0,0,VLOOKUP(H10,V76:W117,2,FALSE)))</f>
        <v>0</v>
      </c>
      <c r="Q12" s="63"/>
      <c r="AQ12" s="127"/>
      <c r="AR12" s="127"/>
    </row>
    <row r="13" spans="2:17" ht="18" customHeight="1">
      <c r="B13" s="11"/>
      <c r="C13" s="134" t="s">
        <v>182</v>
      </c>
      <c r="D13" s="445"/>
      <c r="E13" s="445"/>
      <c r="F13" s="445"/>
      <c r="G13" s="445"/>
      <c r="H13" s="445"/>
      <c r="I13" s="445"/>
      <c r="J13" s="445"/>
      <c r="K13" s="445"/>
      <c r="L13" s="11"/>
      <c r="M13" s="11"/>
      <c r="O13" s="62">
        <f>IF(O10="","",IF(COUNTIF(AB74:AB79,D13)=0,"",VLOOKUP(D13,AB74:AC79,2,FALSE)))</f>
      </c>
      <c r="P13" s="62">
        <f>IF(H13="","",IF(COUNTIF(AE74:AE80,H13)=0,"",VLOOKUP(H13,AE74:AF80,2,FALSE)))</f>
      </c>
      <c r="Q13" s="63"/>
    </row>
    <row r="14" spans="2:15" ht="6" customHeight="1">
      <c r="B14" s="11"/>
      <c r="C14" s="13"/>
      <c r="D14" s="13"/>
      <c r="E14" s="13"/>
      <c r="F14" s="13"/>
      <c r="G14" s="13"/>
      <c r="H14" s="11"/>
      <c r="I14" s="11"/>
      <c r="J14" s="11"/>
      <c r="K14" s="11"/>
      <c r="L14" s="11"/>
      <c r="M14" s="11"/>
      <c r="O14" s="62">
        <v>1</v>
      </c>
    </row>
    <row r="15" spans="2:43" ht="18" customHeight="1">
      <c r="B15" s="11"/>
      <c r="C15" s="446" t="s">
        <v>113</v>
      </c>
      <c r="D15" s="449" t="s">
        <v>114</v>
      </c>
      <c r="E15" s="450"/>
      <c r="F15" s="450"/>
      <c r="G15" s="450"/>
      <c r="H15" s="450"/>
      <c r="I15" s="450"/>
      <c r="J15" s="450"/>
      <c r="K15" s="246"/>
      <c r="L15" s="11"/>
      <c r="M15" s="11"/>
      <c r="O15" s="62">
        <f>IF(K15="有",1,"")</f>
      </c>
      <c r="AQ15" s="127"/>
    </row>
    <row r="16" spans="2:44" ht="18" customHeight="1">
      <c r="B16" s="11"/>
      <c r="C16" s="447"/>
      <c r="D16" s="451" t="s">
        <v>115</v>
      </c>
      <c r="E16" s="452"/>
      <c r="F16" s="452"/>
      <c r="G16" s="452"/>
      <c r="H16" s="452"/>
      <c r="I16" s="452"/>
      <c r="J16" s="452"/>
      <c r="K16" s="246"/>
      <c r="L16" s="11"/>
      <c r="M16" s="11"/>
      <c r="O16" s="62">
        <f>IF(K16="有",1,"")</f>
      </c>
      <c r="AQ16" s="127"/>
      <c r="AR16" s="127"/>
    </row>
    <row r="17" spans="2:15" ht="18" customHeight="1">
      <c r="B17" s="11"/>
      <c r="C17" s="447"/>
      <c r="D17" s="451" t="s">
        <v>116</v>
      </c>
      <c r="E17" s="452"/>
      <c r="F17" s="452"/>
      <c r="G17" s="452"/>
      <c r="H17" s="452"/>
      <c r="I17" s="452"/>
      <c r="J17" s="452"/>
      <c r="K17" s="246"/>
      <c r="L17" s="11"/>
      <c r="M17" s="11"/>
      <c r="O17" s="62">
        <f>IF(K17="有",3,"")</f>
      </c>
    </row>
    <row r="18" spans="2:15" ht="18" customHeight="1">
      <c r="B18" s="11"/>
      <c r="C18" s="447"/>
      <c r="D18" s="451" t="s">
        <v>117</v>
      </c>
      <c r="E18" s="452"/>
      <c r="F18" s="452"/>
      <c r="G18" s="452"/>
      <c r="H18" s="452"/>
      <c r="I18" s="452"/>
      <c r="J18" s="452"/>
      <c r="K18" s="246"/>
      <c r="L18" s="11"/>
      <c r="M18" s="11"/>
      <c r="O18" s="62">
        <f>IF(K18="有",1,0)</f>
        <v>0</v>
      </c>
    </row>
    <row r="19" spans="2:43" ht="18" customHeight="1">
      <c r="B19" s="11"/>
      <c r="C19" s="448"/>
      <c r="D19" s="421" t="s">
        <v>118</v>
      </c>
      <c r="E19" s="422"/>
      <c r="F19" s="422"/>
      <c r="G19" s="422"/>
      <c r="H19" s="423"/>
      <c r="I19" s="423"/>
      <c r="J19" s="423"/>
      <c r="K19" s="246"/>
      <c r="L19" s="11"/>
      <c r="M19" s="11"/>
      <c r="O19" s="62">
        <f>IF(K19="有",1,0)</f>
        <v>0</v>
      </c>
      <c r="AQ19" s="127"/>
    </row>
    <row r="20" spans="2:13" ht="18" customHeight="1">
      <c r="B20" s="11"/>
      <c r="C20" s="256" t="s">
        <v>119</v>
      </c>
      <c r="D20" s="424"/>
      <c r="E20" s="425"/>
      <c r="F20" s="425"/>
      <c r="G20" s="426"/>
      <c r="H20" s="427" t="s">
        <v>192</v>
      </c>
      <c r="I20" s="428"/>
      <c r="J20" s="151" t="s">
        <v>153</v>
      </c>
      <c r="K20" s="150"/>
      <c r="L20" s="11"/>
      <c r="M20" s="11"/>
    </row>
    <row r="21" spans="2:44" ht="18" customHeight="1">
      <c r="B21" s="11"/>
      <c r="C21" s="134" t="s">
        <v>121</v>
      </c>
      <c r="D21" s="246"/>
      <c r="E21" s="431" t="s">
        <v>236</v>
      </c>
      <c r="F21" s="432"/>
      <c r="G21" s="246"/>
      <c r="H21" s="429"/>
      <c r="I21" s="430"/>
      <c r="J21" s="152" t="s">
        <v>154</v>
      </c>
      <c r="K21" s="268">
        <f>IF(K20="","",ROUND(K20/8,0))</f>
      </c>
      <c r="L21" s="11"/>
      <c r="M21" s="11"/>
      <c r="O21" s="62">
        <f>IF(D21="有",1,"")</f>
      </c>
      <c r="P21" s="62">
        <f>IF(G21="有",1,"")</f>
      </c>
      <c r="Q21" s="63"/>
      <c r="AR21" s="127"/>
    </row>
    <row r="22" spans="2:43" ht="6" customHeight="1">
      <c r="B22" s="11"/>
      <c r="C22" s="13"/>
      <c r="D22" s="13"/>
      <c r="E22" s="13"/>
      <c r="F22" s="13"/>
      <c r="G22" s="13"/>
      <c r="H22" s="11"/>
      <c r="I22" s="11"/>
      <c r="J22" s="11"/>
      <c r="K22" s="11"/>
      <c r="L22" s="11"/>
      <c r="M22" s="11"/>
      <c r="AQ22" s="127"/>
    </row>
    <row r="23" spans="2:17" ht="18" customHeight="1">
      <c r="B23" s="11"/>
      <c r="C23" s="433" t="s">
        <v>156</v>
      </c>
      <c r="D23" s="434" t="s">
        <v>14</v>
      </c>
      <c r="E23" s="435"/>
      <c r="F23" s="435"/>
      <c r="G23" s="436"/>
      <c r="H23" s="436"/>
      <c r="I23" s="437"/>
      <c r="J23" s="339" t="s">
        <v>38</v>
      </c>
      <c r="K23" s="340"/>
      <c r="L23" s="341"/>
      <c r="M23" s="12"/>
      <c r="O23" s="63" t="s">
        <v>39</v>
      </c>
      <c r="P23" s="14" t="s">
        <v>41</v>
      </c>
      <c r="Q23" s="14"/>
    </row>
    <row r="24" spans="2:17" ht="18" customHeight="1">
      <c r="B24" s="11"/>
      <c r="C24" s="338"/>
      <c r="D24" s="438" t="s">
        <v>202</v>
      </c>
      <c r="E24" s="439"/>
      <c r="F24" s="440" t="s">
        <v>17</v>
      </c>
      <c r="G24" s="439"/>
      <c r="H24" s="440" t="s">
        <v>18</v>
      </c>
      <c r="I24" s="441"/>
      <c r="J24" s="411" t="s">
        <v>16</v>
      </c>
      <c r="K24" s="413" t="s">
        <v>17</v>
      </c>
      <c r="L24" s="415" t="s">
        <v>18</v>
      </c>
      <c r="M24" s="12"/>
      <c r="O24" s="62">
        <f>IF(OR(O10="",O11=""),"",INDEX(Data_3,O12+P12,O11))</f>
      </c>
      <c r="P24" s="62">
        <f>IF(OR(O10="",O11=""),"",INDEX(Data_4,O12+P12,O11))</f>
      </c>
      <c r="Q24" s="63"/>
    </row>
    <row r="25" spans="2:17" ht="18" customHeight="1">
      <c r="B25" s="11"/>
      <c r="C25" s="338"/>
      <c r="D25" s="15" t="s">
        <v>106</v>
      </c>
      <c r="E25" s="16" t="s">
        <v>107</v>
      </c>
      <c r="F25" s="99" t="s">
        <v>106</v>
      </c>
      <c r="G25" s="16" t="s">
        <v>107</v>
      </c>
      <c r="H25" s="16" t="s">
        <v>106</v>
      </c>
      <c r="I25" s="99" t="s">
        <v>107</v>
      </c>
      <c r="J25" s="412"/>
      <c r="K25" s="414"/>
      <c r="L25" s="416"/>
      <c r="M25" s="12"/>
      <c r="O25" s="63"/>
      <c r="P25" s="63"/>
      <c r="Q25" s="63"/>
    </row>
    <row r="26" spans="2:13" ht="18" customHeight="1">
      <c r="B26" s="11"/>
      <c r="C26" s="249" t="s">
        <v>40</v>
      </c>
      <c r="D26" s="417">
        <f>IF(D28="","",U_Nin(O10,O24,P24,D11,1))</f>
      </c>
      <c r="E26" s="418"/>
      <c r="F26" s="419">
        <f>IF(F28="","",U_Nin(O10,O24,P24,D11,2))</f>
      </c>
      <c r="G26" s="418"/>
      <c r="H26" s="419">
        <f>IF(H28="","",U_Nin(O10,O24,P24,D11,3))</f>
      </c>
      <c r="I26" s="420"/>
      <c r="J26" s="226">
        <f>IF(J27="","",U_Nin(O10,O24,P24,D11,4))</f>
      </c>
      <c r="K26" s="227">
        <f>IF(K27="","",U_Nin(O10,O24,P24,D11,5))</f>
      </c>
      <c r="L26" s="228">
        <f>IF(L27="","",U_Nin(O10,O24,P24,D11,6))</f>
      </c>
      <c r="M26" s="11"/>
    </row>
    <row r="27" spans="2:43" ht="18" customHeight="1">
      <c r="B27" s="13"/>
      <c r="C27" s="400" t="s">
        <v>152</v>
      </c>
      <c r="D27" s="179">
        <f>IF(AND($O$13&gt;0,$O$13&lt;4,$P$13&gt;0,$P$13&lt;5),'業務細分率'!$F$31,"")</f>
      </c>
      <c r="E27" s="180">
        <f>IF(AND($O$13&gt;1,$O$13&lt;6,$P$13&gt;0,$P$13&lt;5),'業務細分率'!$F$32,"")</f>
      </c>
      <c r="F27" s="181">
        <f>IF(AND($O$13&gt;0,$O$13&lt;4,OR($P$13=2,AND($P$13&gt;3,$P$13&lt;7))),'業務細分率'!$F$31,"")</f>
      </c>
      <c r="G27" s="180">
        <f>IF(AND($O$13&gt;1,$O$13&lt;6,OR(P13=2,AND($P$13&gt;3,$P$13&lt;7))),'業務細分率'!$F$32,"")</f>
      </c>
      <c r="H27" s="180">
        <f>IF(AND($O$13&gt;0,$O$13&lt;4,OR($P$13=3,$P$13=4,$P$13=6,$P$13=7)),'業務細分率'!$F$31,"")</f>
      </c>
      <c r="I27" s="182">
        <f>IF(AND($O$13&gt;1,$O$13&lt;6,OR($P$13=3,$P$13=4,$P$13=6,$P$13=7)),'業務細分率'!$F$32,"")</f>
      </c>
      <c r="J27" s="401">
        <f>IF(AND(OR($O$13=3,$O$13=5,$O$13=6),$P$13&gt;0,$P$13&lt;5),'業務細分率'!$K$25,"")</f>
      </c>
      <c r="K27" s="403">
        <f>IF(AND(OR($O$13=3,$O$13=5,$O$13=6),OR($P$13=2,AND($P$13&gt;3,$P$13&lt;7))),'業務細分率'!$K$25,"")</f>
      </c>
      <c r="L27" s="405">
        <f>IF(AND(OR($O$13=3,$O$13=5,$O$13=6),OR($P$13=3,$P$13=4,$P$13=6,$P$13=7)),'業務細分率'!$K$25,"")</f>
      </c>
      <c r="M27" s="11"/>
      <c r="AQ27" s="127"/>
    </row>
    <row r="28" spans="2:13" ht="18" customHeight="1">
      <c r="B28" s="11"/>
      <c r="C28" s="338"/>
      <c r="D28" s="407">
        <f>IF(AND(D27="",E27=""),"",SUM(D27,E27))</f>
      </c>
      <c r="E28" s="408"/>
      <c r="F28" s="409">
        <f>IF(AND(F27="",G27=""),"",SUM(F27,G27))</f>
      </c>
      <c r="G28" s="408"/>
      <c r="H28" s="409">
        <f>IF(AND(H27="",I27=""),"",SUM(H27,I27))</f>
      </c>
      <c r="I28" s="410"/>
      <c r="J28" s="402"/>
      <c r="K28" s="404"/>
      <c r="L28" s="406"/>
      <c r="M28" s="11"/>
    </row>
    <row r="29" spans="2:17" ht="18" customHeight="1">
      <c r="B29" s="13"/>
      <c r="C29" s="338" t="s">
        <v>111</v>
      </c>
      <c r="D29" s="144">
        <f>IF(OR(D26="",D27=""),"",ROUND(D26*D27,0))</f>
      </c>
      <c r="E29" s="145">
        <f>IF(OR(D26="",E27=""),"",ROUND(D26*E27,0))</f>
      </c>
      <c r="F29" s="248">
        <f>IF(OR(F26="",F27=""),"",ROUND(F26*F27,0))</f>
      </c>
      <c r="G29" s="145">
        <f>IF(OR(F26="",G27=""),"",ROUND(F26*G27,0))</f>
      </c>
      <c r="H29" s="145">
        <f>IF(OR(H26="",H27=""),"",ROUND(H26*H27,0))</f>
      </c>
      <c r="I29" s="146">
        <f>IF(OR(H26="",I27=""),"",ROUND(H26*I27,0))</f>
      </c>
      <c r="J29" s="390">
        <f>IF(OR(J26="",J27=""),"",ROUND(J26*J27,0))</f>
      </c>
      <c r="K29" s="392">
        <f>IF(OR(K26="",K27=""),"",ROUND(K26*K27,0))</f>
      </c>
      <c r="L29" s="394">
        <f>IF(OR(L26="",L27=""),"",ROUND(L26*L27,0))</f>
      </c>
      <c r="M29" s="11"/>
      <c r="O29" s="310">
        <f>IF(D26="","",ROUND(D26*'業務細分率'!$M$32,0))</f>
      </c>
      <c r="P29" s="309">
        <f>IF(F26="","",ROUND(F26*'業務細分率'!$M$32,0))</f>
      </c>
      <c r="Q29" s="310">
        <f>IF(H26="","",ROUND(H26*'業務細分率'!$M$32,0))</f>
      </c>
    </row>
    <row r="30" spans="2:43" ht="18" customHeight="1">
      <c r="B30" s="11"/>
      <c r="C30" s="338"/>
      <c r="D30" s="396">
        <f>IF(AND(D29="",E29=""),"",SUM(D29,E29))</f>
      </c>
      <c r="E30" s="397"/>
      <c r="F30" s="398">
        <f>IF(AND(F29="",G29=""),"",SUM(F29,G29))</f>
      </c>
      <c r="G30" s="397"/>
      <c r="H30" s="398">
        <f>IF(AND(H29="",I29=""),"",SUM(H29,I29))</f>
      </c>
      <c r="I30" s="399"/>
      <c r="J30" s="391">
        <f>IF(J28="","",ROUND(I26*J28,0))</f>
      </c>
      <c r="K30" s="393">
        <f>IF(K28="","",ROUND(J26*K28,0))</f>
      </c>
      <c r="L30" s="395">
        <f>IF(L28="","",ROUND(K26*L28,0))</f>
      </c>
      <c r="M30" s="11"/>
      <c r="P30" s="311"/>
      <c r="Q30" s="311"/>
      <c r="AQ30" s="127"/>
    </row>
    <row r="31" spans="2:17" ht="18" customHeight="1">
      <c r="B31" s="13"/>
      <c r="C31" s="249" t="s">
        <v>122</v>
      </c>
      <c r="D31" s="376"/>
      <c r="E31" s="377"/>
      <c r="F31" s="378">
        <f>IF(OR(COUNTA(K15:K17)&lt;3,F28=""),"",CHOOSE(SUM(O14:O17),1,1.2,1.2,1.3,1.4,1.4))</f>
      </c>
      <c r="G31" s="379"/>
      <c r="H31" s="378">
        <f>IF(OR(K18="",K19="",H28=""),"",IF(SUM(O18:O19)&gt;0,1.4,1))</f>
      </c>
      <c r="I31" s="380"/>
      <c r="J31" s="381"/>
      <c r="K31" s="383"/>
      <c r="L31" s="385"/>
      <c r="M31" s="11"/>
      <c r="P31" s="62">
        <f>IF(SUM(O15:O16)&gt;=1,1.2,1)</f>
        <v>1</v>
      </c>
      <c r="Q31" s="311"/>
    </row>
    <row r="32" spans="2:17" ht="18" customHeight="1">
      <c r="B32" s="13"/>
      <c r="C32" s="154" t="s">
        <v>124</v>
      </c>
      <c r="D32" s="376"/>
      <c r="E32" s="377"/>
      <c r="F32" s="140">
        <f>IF(OR(F29="",F31=""),"",ROUND(F29*F31,0))</f>
      </c>
      <c r="G32" s="141">
        <f>IF(OR(G29="",F31=""),"",ROUND(G29*F31,0))</f>
      </c>
      <c r="H32" s="140">
        <f>IF(OR(H29="",H31=""),"",ROUND(H29*H31,0))</f>
      </c>
      <c r="I32" s="141">
        <f>IF(OR(I29="",H31=""),"",ROUND(I29*H31,0))</f>
      </c>
      <c r="J32" s="382"/>
      <c r="K32" s="384"/>
      <c r="L32" s="386"/>
      <c r="M32" s="11"/>
      <c r="P32" s="312">
        <f>IF(P29="","",ROUND(P29*P31,0))</f>
      </c>
      <c r="Q32" s="312">
        <f>IF(Q29="","",ROUND(Q29*H31,0))</f>
      </c>
    </row>
    <row r="33" spans="2:13" ht="18" customHeight="1">
      <c r="B33" s="13"/>
      <c r="C33" s="249" t="s">
        <v>123</v>
      </c>
      <c r="D33" s="112"/>
      <c r="E33" s="142">
        <f>IF(OR(D21="",O29=""),"",IF($O$21=1,ROUND(O29*0.15,0),0))</f>
      </c>
      <c r="F33" s="128"/>
      <c r="G33" s="142">
        <f>IF(OR(D21="",G32=""),"",IF($O$21=1,ROUND(P31*P32*0.15,0),0))</f>
      </c>
      <c r="H33" s="113"/>
      <c r="I33" s="143">
        <f>IF(OR(D21="",I32=""),"",IF($O$21=1,ROUND(Q32*0.15,0),0))</f>
      </c>
      <c r="J33" s="382"/>
      <c r="K33" s="384"/>
      <c r="L33" s="386"/>
      <c r="M33" s="11"/>
    </row>
    <row r="34" spans="2:13" ht="18" customHeight="1">
      <c r="B34" s="13"/>
      <c r="C34" s="259" t="s">
        <v>125</v>
      </c>
      <c r="D34" s="208"/>
      <c r="E34" s="250">
        <f>IF(E29="","",IF(COUNTIF(AH74:AH77,D20)=0,"",VLOOKUP(D20,AH74:AI77,2,FALSE)))</f>
      </c>
      <c r="F34" s="387"/>
      <c r="G34" s="388"/>
      <c r="H34" s="387"/>
      <c r="I34" s="389"/>
      <c r="J34" s="382"/>
      <c r="K34" s="384"/>
      <c r="L34" s="386"/>
      <c r="M34" s="11"/>
    </row>
    <row r="35" spans="2:17" ht="18" customHeight="1">
      <c r="B35" s="13"/>
      <c r="C35" s="294" t="s">
        <v>237</v>
      </c>
      <c r="D35" s="361"/>
      <c r="E35" s="362"/>
      <c r="F35" s="362"/>
      <c r="G35" s="362"/>
      <c r="H35" s="362"/>
      <c r="I35" s="363"/>
      <c r="J35" s="295">
        <f>IF(O35="","",IF(AND(O35&gt;0,O35&lt;0.5),1,ROUND(O35,0)))</f>
      </c>
      <c r="K35" s="296">
        <f>IF(P35="","",IF(AND(P35&gt;0,P35&lt;0.5),1,ROUND(P35,0)))</f>
      </c>
      <c r="L35" s="297">
        <f>IF(Q35="","",IF(AND(Q35&gt;0,Q35&lt;0.5),1,ROUND(Q35,0)))</f>
      </c>
      <c r="M35" s="11"/>
      <c r="O35" s="164">
        <f>IF(OR($G$21="",J29="",'業務細分率'!$K$26=""),"",IF($P$21=1,J29*'業務細分率'!$K$26,0))</f>
      </c>
      <c r="P35" s="164">
        <f>IF(OR($G$21="",K29="",'業務細分率'!$K$26=""),"",IF($P$21=1,K29*'業務細分率'!$K$26,0))</f>
      </c>
      <c r="Q35" s="164">
        <f>IF(OR($G$21="",L29="",'業務細分率'!$K$27=""),"",IF($P$21=1,L29*'業務細分率'!$K$27,0))</f>
      </c>
    </row>
    <row r="36" spans="2:13" ht="18" customHeight="1">
      <c r="B36" s="13"/>
      <c r="C36" s="209" t="s">
        <v>194</v>
      </c>
      <c r="D36" s="364"/>
      <c r="E36" s="365"/>
      <c r="F36" s="365"/>
      <c r="G36" s="365"/>
      <c r="H36" s="365"/>
      <c r="I36" s="366"/>
      <c r="J36" s="367"/>
      <c r="K36" s="368"/>
      <c r="L36" s="369"/>
      <c r="M36" s="11"/>
    </row>
    <row r="37" spans="2:43" ht="18" customHeight="1">
      <c r="B37" s="13"/>
      <c r="C37" s="210"/>
      <c r="D37" s="211"/>
      <c r="E37" s="212"/>
      <c r="F37" s="212"/>
      <c r="G37" s="212"/>
      <c r="H37" s="212"/>
      <c r="I37" s="213"/>
      <c r="J37" s="211"/>
      <c r="K37" s="212"/>
      <c r="L37" s="214"/>
      <c r="M37" s="11"/>
      <c r="AQ37" s="215"/>
    </row>
    <row r="38" spans="2:44" ht="18" customHeight="1">
      <c r="B38" s="13"/>
      <c r="C38" s="216"/>
      <c r="D38" s="217"/>
      <c r="E38" s="218"/>
      <c r="F38" s="218"/>
      <c r="G38" s="218"/>
      <c r="H38" s="218"/>
      <c r="I38" s="219"/>
      <c r="J38" s="217"/>
      <c r="K38" s="218"/>
      <c r="L38" s="220"/>
      <c r="M38" s="11"/>
      <c r="AR38" s="127"/>
    </row>
    <row r="39" spans="2:43" ht="18" customHeight="1">
      <c r="B39" s="13"/>
      <c r="C39" s="221"/>
      <c r="D39" s="236"/>
      <c r="E39" s="222"/>
      <c r="F39" s="222"/>
      <c r="G39" s="222"/>
      <c r="H39" s="222"/>
      <c r="I39" s="237"/>
      <c r="J39" s="236"/>
      <c r="K39" s="222"/>
      <c r="L39" s="238"/>
      <c r="M39" s="11"/>
      <c r="AQ39" s="127"/>
    </row>
    <row r="40" spans="2:44" ht="18" customHeight="1">
      <c r="B40" s="13"/>
      <c r="C40" s="155"/>
      <c r="D40" s="223">
        <f>IF(D29="","",SUM(D29,D37:D39))</f>
      </c>
      <c r="E40" s="224">
        <f>IF(COUNT(E29,E33,E34)&lt;3,"",SUM(E29,E33:E34,E37:E39))</f>
      </c>
      <c r="F40" s="224">
        <f>IF(F32="","",SUM(F32,F37:F39))</f>
      </c>
      <c r="G40" s="224">
        <f>IF(OR(G32="",G33=""),"",SUM(G32:G33,G37:G39))</f>
      </c>
      <c r="H40" s="224">
        <f>IF(H32="","",SUM(H32,H37:H39))</f>
      </c>
      <c r="I40" s="225">
        <f>IF(OR(I32="",I33=""),"",SUM(I32:I33,I37:I39))</f>
      </c>
      <c r="J40" s="370">
        <f>IF(J29="","",SUM(J29,J37:J39))</f>
      </c>
      <c r="K40" s="372">
        <f>IF(K29="","",SUM(K29,K37:K39))</f>
      </c>
      <c r="L40" s="374">
        <f>IF(L29="","",SUM(L29,L37:L39))</f>
      </c>
      <c r="M40" s="11"/>
      <c r="AR40" s="127"/>
    </row>
    <row r="41" spans="2:13" ht="18" customHeight="1">
      <c r="B41" s="13"/>
      <c r="C41" s="155" t="s">
        <v>112</v>
      </c>
      <c r="D41" s="173">
        <f aca="true" t="shared" si="0" ref="D41:I41">IF(OR($K$21="",D40=""),"",ROUND(D40*$K$21,0))</f>
      </c>
      <c r="E41" s="174">
        <f t="shared" si="0"/>
      </c>
      <c r="F41" s="175">
        <f t="shared" si="0"/>
      </c>
      <c r="G41" s="174">
        <f t="shared" si="0"/>
      </c>
      <c r="H41" s="174">
        <f t="shared" si="0"/>
      </c>
      <c r="I41" s="174">
        <f t="shared" si="0"/>
      </c>
      <c r="J41" s="371"/>
      <c r="K41" s="373"/>
      <c r="L41" s="375"/>
      <c r="M41" s="11"/>
    </row>
    <row r="42" spans="2:13" ht="18" customHeight="1">
      <c r="B42" s="13"/>
      <c r="C42" s="157" t="s">
        <v>162</v>
      </c>
      <c r="D42" s="349">
        <f>IF(AND(D40="",E40=""),"",SUM(D40,E40))</f>
      </c>
      <c r="E42" s="350"/>
      <c r="F42" s="351">
        <f>IF(AND(F40="",G40=""),"",SUM(F40,G40))</f>
      </c>
      <c r="G42" s="350"/>
      <c r="H42" s="351">
        <f>IF(AND(H40="",I40=""),"",SUM(H40,I40))</f>
      </c>
      <c r="I42" s="352"/>
      <c r="J42" s="353">
        <f>IF(OR($K$21="",J40=""),"",ROUND(J40*$K$21,0))</f>
      </c>
      <c r="K42" s="355">
        <f>IF(OR($K$21="",K40=""),"",ROUND(K40*$K$21,0))</f>
      </c>
      <c r="L42" s="357">
        <f>IF(OR($K$21="",L40=""),"",ROUND(L40*$K$21,0))</f>
      </c>
      <c r="M42" s="11"/>
    </row>
    <row r="43" spans="2:13" ht="18" customHeight="1">
      <c r="B43" s="11"/>
      <c r="C43" s="156"/>
      <c r="D43" s="334">
        <f>IF(OR($K$21="",D42=""),"",ROUND(D42*$K$21,0))</f>
      </c>
      <c r="E43" s="359"/>
      <c r="F43" s="360">
        <f>IF(OR($K$21="",F42=""),"",ROUND(F42*$K$21,0))</f>
      </c>
      <c r="G43" s="359"/>
      <c r="H43" s="360">
        <f>IF(OR($K$21="",H42=""),"",ROUND(H42*$K$21,0))</f>
      </c>
      <c r="I43" s="336"/>
      <c r="J43" s="354"/>
      <c r="K43" s="356"/>
      <c r="L43" s="358"/>
      <c r="M43" s="11"/>
    </row>
    <row r="44" spans="2:13" ht="6" customHeight="1">
      <c r="B44" s="11"/>
      <c r="C44" s="11"/>
      <c r="D44" s="11"/>
      <c r="E44" s="11"/>
      <c r="F44" s="11"/>
      <c r="G44" s="11"/>
      <c r="H44" s="11"/>
      <c r="I44" s="11"/>
      <c r="J44" s="11"/>
      <c r="K44" s="11"/>
      <c r="L44" s="11"/>
      <c r="M44" s="11"/>
    </row>
    <row r="45" spans="2:44" ht="18" customHeight="1">
      <c r="B45" s="11"/>
      <c r="C45" s="337" t="s">
        <v>157</v>
      </c>
      <c r="D45" s="339" t="s">
        <v>14</v>
      </c>
      <c r="E45" s="340"/>
      <c r="F45" s="341"/>
      <c r="G45" s="339" t="s">
        <v>38</v>
      </c>
      <c r="H45" s="340"/>
      <c r="I45" s="341"/>
      <c r="J45" s="183"/>
      <c r="K45" s="183"/>
      <c r="L45" s="183"/>
      <c r="M45" s="183"/>
      <c r="AQ45" s="127"/>
      <c r="AR45" s="127"/>
    </row>
    <row r="46" spans="2:44" ht="18" customHeight="1">
      <c r="B46" s="11"/>
      <c r="C46" s="338"/>
      <c r="D46" s="253" t="s">
        <v>16</v>
      </c>
      <c r="E46" s="254" t="s">
        <v>17</v>
      </c>
      <c r="F46" s="255" t="s">
        <v>18</v>
      </c>
      <c r="G46" s="253" t="s">
        <v>16</v>
      </c>
      <c r="H46" s="254" t="s">
        <v>17</v>
      </c>
      <c r="I46" s="255" t="s">
        <v>18</v>
      </c>
      <c r="J46" s="183"/>
      <c r="K46" s="183"/>
      <c r="L46" s="183"/>
      <c r="M46" s="183"/>
      <c r="AR46" s="127"/>
    </row>
    <row r="47" spans="2:44" ht="18" customHeight="1">
      <c r="B47" s="11"/>
      <c r="C47" s="154" t="s">
        <v>40</v>
      </c>
      <c r="D47" s="226">
        <f>IF(OR($O$47="",$O$47&gt;2,$P$13&gt;4,$P$10=1),"",U_Kodate($D$11,$AK$74:$AO$77,$O$12,1))</f>
      </c>
      <c r="E47" s="227">
        <f>IF(OR($O$47="",$O$47&gt;2,$P$13&lt;2,$P$13=3,$P$13&gt;6,$P$10=1),"",U_Kodate($D$11,$AK$74:$AO$77,$O$12,2))</f>
      </c>
      <c r="F47" s="228">
        <f>IF(OR($O$47="",$O$47&gt;2,$P$13&lt;3,$P$13=5,$P$13&gt;7,$P$10=1),"",U_Kodate($D$11,$AK$74:$AO$77,$O$12,3))</f>
      </c>
      <c r="G47" s="251">
        <f>IF(OR($O$47="",$O$47=1,$P$13&gt;4,$P$10=1),"",U_Kodate($D$11,$AK$74:$AO$77,$O$12,4))</f>
      </c>
      <c r="H47" s="227">
        <f>IF(OR($O$47="",$O$47=1,$P$13&lt;2,$P$13=3,$P$13&gt;6,$P$10=1),"",U_Kodate($D$11,$AK$74:$AO$77,$O$12,5))</f>
      </c>
      <c r="I47" s="228">
        <f>IF(OR($O$47="",$O$47=1,$P$13&lt;3,$P$13=5,$P$13&gt;7,$P$10=1),"",U_Kodate($D$11,$AK$74:$AO$77,$O$12,6))</f>
      </c>
      <c r="J47" s="183"/>
      <c r="K47" s="183"/>
      <c r="L47" s="183"/>
      <c r="M47" s="183"/>
      <c r="O47" s="164">
        <f>IF(COUNTIF(AB81:AB83,D13)=0,"",VLOOKUP(D13,AB81:AC83,2,FALSE))</f>
      </c>
      <c r="AR47" s="127"/>
    </row>
    <row r="48" spans="2:15" ht="18" customHeight="1">
      <c r="B48" s="11"/>
      <c r="C48" s="229" t="s">
        <v>194</v>
      </c>
      <c r="D48" s="342"/>
      <c r="E48" s="343"/>
      <c r="F48" s="344"/>
      <c r="G48" s="342"/>
      <c r="H48" s="343"/>
      <c r="I48" s="345"/>
      <c r="J48" s="183"/>
      <c r="K48" s="183"/>
      <c r="L48" s="183"/>
      <c r="M48" s="183"/>
      <c r="O48" s="169"/>
    </row>
    <row r="49" spans="2:15" ht="18" customHeight="1">
      <c r="B49" s="11"/>
      <c r="C49" s="230"/>
      <c r="D49" s="231"/>
      <c r="E49" s="232"/>
      <c r="F49" s="233"/>
      <c r="G49" s="231"/>
      <c r="H49" s="232"/>
      <c r="I49" s="234"/>
      <c r="J49" s="183"/>
      <c r="K49" s="183"/>
      <c r="L49" s="183"/>
      <c r="M49" s="183"/>
      <c r="O49" s="169"/>
    </row>
    <row r="50" spans="2:15" ht="18" customHeight="1">
      <c r="B50" s="11"/>
      <c r="C50" s="235"/>
      <c r="D50" s="236"/>
      <c r="E50" s="222"/>
      <c r="F50" s="237"/>
      <c r="G50" s="236"/>
      <c r="H50" s="222"/>
      <c r="I50" s="238"/>
      <c r="J50" s="183"/>
      <c r="K50" s="183"/>
      <c r="L50" s="183"/>
      <c r="M50" s="183"/>
      <c r="O50" s="169"/>
    </row>
    <row r="51" spans="2:15" ht="18" customHeight="1">
      <c r="B51" s="11"/>
      <c r="C51" s="155"/>
      <c r="D51" s="257">
        <f aca="true" t="shared" si="1" ref="D51:I51">IF(D47="","",SUM(D47,D49:D50))</f>
      </c>
      <c r="E51" s="258">
        <f t="shared" si="1"/>
      </c>
      <c r="F51" s="247">
        <f t="shared" si="1"/>
      </c>
      <c r="G51" s="239">
        <f t="shared" si="1"/>
      </c>
      <c r="H51" s="258">
        <f t="shared" si="1"/>
      </c>
      <c r="I51" s="247">
        <f t="shared" si="1"/>
      </c>
      <c r="J51" s="183"/>
      <c r="K51" s="183"/>
      <c r="L51" s="183"/>
      <c r="M51" s="183"/>
      <c r="O51" s="169"/>
    </row>
    <row r="52" spans="2:13" ht="18" customHeight="1">
      <c r="B52" s="11"/>
      <c r="C52" s="155" t="s">
        <v>112</v>
      </c>
      <c r="D52" s="173">
        <f aca="true" t="shared" si="2" ref="D52:I52">IF(OR($K$21="",D51=""),"",ROUND(D51*$K$21,0))</f>
      </c>
      <c r="E52" s="174">
        <f t="shared" si="2"/>
      </c>
      <c r="F52" s="176">
        <f t="shared" si="2"/>
      </c>
      <c r="G52" s="177">
        <f t="shared" si="2"/>
      </c>
      <c r="H52" s="174">
        <f t="shared" si="2"/>
      </c>
      <c r="I52" s="176">
        <f t="shared" si="2"/>
      </c>
      <c r="J52" s="183"/>
      <c r="K52" s="183"/>
      <c r="L52" s="183"/>
      <c r="M52" s="183"/>
    </row>
    <row r="53" spans="2:13" ht="18" customHeight="1">
      <c r="B53" s="11"/>
      <c r="C53" s="157" t="s">
        <v>162</v>
      </c>
      <c r="D53" s="346">
        <f>IF(AND($O$47&lt;3,$P$10=1),U_Kodate($D$11,$AK$74:$AO$77,$O$12,1),IF(COUNT(D51:F51)=0,"",SUM(D51:F51)))</f>
      </c>
      <c r="E53" s="347"/>
      <c r="F53" s="348"/>
      <c r="G53" s="346">
        <f>IF(AND(O47&gt;1,$P$10=1),U_Kodate($D$11,$AK$74:$AO$77,$O$12,2),IF(COUNT(G51:I51)=0,"",SUM(G51:I51)))</f>
      </c>
      <c r="H53" s="347"/>
      <c r="I53" s="348"/>
      <c r="J53" s="183"/>
      <c r="K53" s="183"/>
      <c r="L53" s="183"/>
      <c r="M53" s="183"/>
    </row>
    <row r="54" spans="2:13" ht="18" customHeight="1">
      <c r="B54" s="11"/>
      <c r="C54" s="156"/>
      <c r="D54" s="334">
        <f>IF(OR($K$21="",D53=""),"",D53*$K$21)</f>
      </c>
      <c r="E54" s="335"/>
      <c r="F54" s="336"/>
      <c r="G54" s="334">
        <f>IF(OR($K$21="",G53=""),"",G53*$K$21)</f>
      </c>
      <c r="H54" s="335"/>
      <c r="I54" s="336"/>
      <c r="J54" s="183"/>
      <c r="K54" s="183"/>
      <c r="L54" s="183"/>
      <c r="M54" s="183"/>
    </row>
    <row r="55" spans="2:13" ht="6" customHeight="1">
      <c r="B55" s="11"/>
      <c r="C55" s="11"/>
      <c r="D55" s="11"/>
      <c r="E55" s="11"/>
      <c r="F55" s="11"/>
      <c r="G55" s="11"/>
      <c r="H55" s="11"/>
      <c r="I55" s="11"/>
      <c r="J55" s="11"/>
      <c r="K55" s="11"/>
      <c r="L55" s="11"/>
      <c r="M55" s="11"/>
    </row>
    <row r="56" spans="2:13" ht="18" customHeight="1">
      <c r="B56" s="11"/>
      <c r="C56" s="100" t="s">
        <v>173</v>
      </c>
      <c r="D56" s="260" t="s">
        <v>203</v>
      </c>
      <c r="E56" s="261">
        <f>IF(COUNT(D42:I42,J40:L41,D53:I53)=0,"",SUM(D42:I42,J40:L41,D53:I53))</f>
      </c>
      <c r="F56" s="260" t="s">
        <v>204</v>
      </c>
      <c r="G56" s="261">
        <f>IF(OR(E56="",K21=""),"",K21)</f>
      </c>
      <c r="H56" s="12" t="s">
        <v>205</v>
      </c>
      <c r="I56" s="328">
        <f>IF(OR(E56="",G56=""),"",E56*G56)</f>
      </c>
      <c r="J56" s="329"/>
      <c r="K56" s="13" t="s">
        <v>206</v>
      </c>
      <c r="L56" s="11"/>
      <c r="M56" s="11"/>
    </row>
    <row r="57" spans="2:13" ht="6" customHeight="1">
      <c r="B57" s="11"/>
      <c r="C57" s="100"/>
      <c r="D57" s="11"/>
      <c r="E57" s="11"/>
      <c r="F57" s="11"/>
      <c r="G57" s="11"/>
      <c r="H57" s="11"/>
      <c r="I57" s="11"/>
      <c r="J57" s="11"/>
      <c r="K57" s="11"/>
      <c r="L57" s="11"/>
      <c r="M57" s="11"/>
    </row>
    <row r="58" spans="2:13" ht="18" customHeight="1">
      <c r="B58" s="11"/>
      <c r="C58" s="100" t="s">
        <v>174</v>
      </c>
      <c r="D58" s="328">
        <f>IF(I56="","",I56)</f>
      </c>
      <c r="E58" s="329"/>
      <c r="F58" s="11" t="s">
        <v>170</v>
      </c>
      <c r="G58" s="178">
        <v>1</v>
      </c>
      <c r="H58" s="12" t="s">
        <v>207</v>
      </c>
      <c r="I58" s="328">
        <f>IF(OR(D58="",G58=""),"",D58*G58)</f>
      </c>
      <c r="J58" s="329"/>
      <c r="K58" s="13" t="s">
        <v>206</v>
      </c>
      <c r="L58" s="11"/>
      <c r="M58" s="11"/>
    </row>
    <row r="59" spans="2:13" ht="6" customHeight="1">
      <c r="B59" s="11"/>
      <c r="C59" s="11"/>
      <c r="D59" s="11"/>
      <c r="E59" s="11"/>
      <c r="F59" s="11"/>
      <c r="G59" s="11"/>
      <c r="H59" s="11"/>
      <c r="I59" s="11"/>
      <c r="J59" s="11"/>
      <c r="K59" s="11"/>
      <c r="L59" s="11"/>
      <c r="M59" s="11"/>
    </row>
    <row r="60" spans="2:13" ht="18" customHeight="1">
      <c r="B60" s="11"/>
      <c r="C60" s="100" t="s">
        <v>175</v>
      </c>
      <c r="D60" s="328">
        <f>IF(I58="","",SUM(I56,I58))</f>
      </c>
      <c r="E60" s="329"/>
      <c r="F60" s="12" t="s">
        <v>171</v>
      </c>
      <c r="G60" s="178">
        <v>0.2</v>
      </c>
      <c r="H60" s="12" t="s">
        <v>207</v>
      </c>
      <c r="I60" s="328">
        <f>IF(OR(D60="",G60=""),"",D60*G60)</f>
      </c>
      <c r="J60" s="329"/>
      <c r="K60" s="13" t="s">
        <v>206</v>
      </c>
      <c r="L60" s="11"/>
      <c r="M60" s="11"/>
    </row>
    <row r="61" spans="2:13" ht="6" customHeight="1">
      <c r="B61" s="11"/>
      <c r="C61" s="11"/>
      <c r="D61" s="11"/>
      <c r="E61" s="11"/>
      <c r="F61" s="11"/>
      <c r="G61" s="11"/>
      <c r="H61" s="11"/>
      <c r="I61" s="11"/>
      <c r="J61" s="11"/>
      <c r="K61" s="11"/>
      <c r="L61" s="11"/>
      <c r="M61" s="11"/>
    </row>
    <row r="62" spans="2:13" ht="18" customHeight="1">
      <c r="B62" s="11"/>
      <c r="C62" s="100" t="s">
        <v>176</v>
      </c>
      <c r="D62" s="185" t="s">
        <v>172</v>
      </c>
      <c r="E62" s="11"/>
      <c r="F62" s="11"/>
      <c r="G62" s="11"/>
      <c r="H62" s="11"/>
      <c r="I62" s="326">
        <v>0</v>
      </c>
      <c r="J62" s="327"/>
      <c r="K62" s="13" t="s">
        <v>206</v>
      </c>
      <c r="L62" s="11"/>
      <c r="M62" s="11"/>
    </row>
    <row r="63" spans="2:13" ht="6" customHeight="1">
      <c r="B63" s="11"/>
      <c r="C63" s="11"/>
      <c r="D63" s="11"/>
      <c r="E63" s="11"/>
      <c r="F63" s="11"/>
      <c r="G63" s="11"/>
      <c r="H63" s="11"/>
      <c r="I63" s="11"/>
      <c r="J63" s="11"/>
      <c r="K63" s="11"/>
      <c r="L63" s="11"/>
      <c r="M63" s="11"/>
    </row>
    <row r="64" spans="2:13" ht="18" customHeight="1">
      <c r="B64" s="11"/>
      <c r="C64" s="184" t="s">
        <v>177</v>
      </c>
      <c r="D64" s="11"/>
      <c r="E64" s="11"/>
      <c r="F64" s="11"/>
      <c r="G64" s="11"/>
      <c r="H64" s="11"/>
      <c r="I64" s="328">
        <f>IF(I56="","",SUM(I56,I58,I60,I62))</f>
      </c>
      <c r="J64" s="329"/>
      <c r="K64" s="13" t="s">
        <v>206</v>
      </c>
      <c r="L64" s="11"/>
      <c r="M64" s="11"/>
    </row>
    <row r="65" spans="2:13" ht="6" customHeight="1">
      <c r="B65" s="11"/>
      <c r="C65" s="11"/>
      <c r="D65" s="11"/>
      <c r="E65" s="11"/>
      <c r="F65" s="11"/>
      <c r="G65" s="11"/>
      <c r="H65" s="11"/>
      <c r="I65" s="11"/>
      <c r="J65" s="11"/>
      <c r="K65" s="11"/>
      <c r="L65" s="11"/>
      <c r="M65" s="11"/>
    </row>
    <row r="66" spans="2:13" ht="18" customHeight="1">
      <c r="B66" s="11"/>
      <c r="C66" s="184" t="s">
        <v>178</v>
      </c>
      <c r="D66" s="11"/>
      <c r="E66" s="11"/>
      <c r="F66" s="100" t="s">
        <v>208</v>
      </c>
      <c r="G66" s="178"/>
      <c r="H66" s="12" t="s">
        <v>207</v>
      </c>
      <c r="I66" s="328">
        <f>IF(OR(I64="",G66=""),"",INT(I64*G66))</f>
      </c>
      <c r="J66" s="329"/>
      <c r="K66" s="13" t="s">
        <v>206</v>
      </c>
      <c r="L66" s="11"/>
      <c r="M66" s="11"/>
    </row>
    <row r="67" spans="2:13" ht="6" customHeight="1">
      <c r="B67" s="11"/>
      <c r="C67" s="11"/>
      <c r="D67" s="11"/>
      <c r="E67" s="11"/>
      <c r="F67" s="100"/>
      <c r="G67" s="11"/>
      <c r="H67" s="11"/>
      <c r="I67" s="11"/>
      <c r="J67" s="11"/>
      <c r="K67" s="13"/>
      <c r="L67" s="11"/>
      <c r="M67" s="11"/>
    </row>
    <row r="68" spans="2:13" ht="18" customHeight="1">
      <c r="B68" s="11"/>
      <c r="C68" s="184" t="s">
        <v>179</v>
      </c>
      <c r="D68" s="330" t="s">
        <v>209</v>
      </c>
      <c r="E68" s="331"/>
      <c r="F68" s="331"/>
      <c r="G68" s="331"/>
      <c r="H68" s="12" t="s">
        <v>207</v>
      </c>
      <c r="I68" s="328">
        <f>IF(I66="","",SUM(I64,I66))</f>
      </c>
      <c r="J68" s="329"/>
      <c r="K68" s="13" t="s">
        <v>206</v>
      </c>
      <c r="L68" s="11"/>
      <c r="M68" s="11"/>
    </row>
    <row r="69" spans="2:13" ht="6" customHeight="1">
      <c r="B69" s="11"/>
      <c r="C69" s="11"/>
      <c r="D69" s="11"/>
      <c r="E69" s="11"/>
      <c r="F69" s="100"/>
      <c r="G69" s="11"/>
      <c r="H69" s="11"/>
      <c r="I69" s="11"/>
      <c r="J69" s="11"/>
      <c r="K69" s="13"/>
      <c r="L69" s="11"/>
      <c r="M69" s="11"/>
    </row>
    <row r="70" spans="2:13" ht="18" customHeight="1">
      <c r="B70" s="11"/>
      <c r="C70" s="332" t="s">
        <v>191</v>
      </c>
      <c r="D70" s="262"/>
      <c r="E70" s="262"/>
      <c r="F70" s="263"/>
      <c r="G70" s="262"/>
      <c r="H70" s="262"/>
      <c r="I70" s="262"/>
      <c r="J70" s="262"/>
      <c r="K70" s="263"/>
      <c r="L70" s="264"/>
      <c r="M70" s="11"/>
    </row>
    <row r="71" spans="2:13" ht="18" customHeight="1">
      <c r="B71" s="11"/>
      <c r="C71" s="333"/>
      <c r="D71" s="265"/>
      <c r="E71" s="265"/>
      <c r="F71" s="266"/>
      <c r="G71" s="265"/>
      <c r="H71" s="265"/>
      <c r="I71" s="265"/>
      <c r="J71" s="265"/>
      <c r="K71" s="266"/>
      <c r="L71" s="267"/>
      <c r="M71" s="11"/>
    </row>
    <row r="72" spans="2:13" ht="18" customHeight="1">
      <c r="B72" s="11"/>
      <c r="C72" s="11"/>
      <c r="D72" s="11"/>
      <c r="E72" s="11"/>
      <c r="F72" s="11"/>
      <c r="G72" s="11"/>
      <c r="H72" s="11"/>
      <c r="I72" s="11"/>
      <c r="J72" s="11"/>
      <c r="K72" s="11"/>
      <c r="L72" s="11"/>
      <c r="M72" s="11"/>
    </row>
    <row r="74" spans="19:41" ht="19.5" customHeight="1">
      <c r="S74" s="6" t="s">
        <v>28</v>
      </c>
      <c r="T74" s="6"/>
      <c r="U74" s="6"/>
      <c r="V74" s="7" t="s">
        <v>3</v>
      </c>
      <c r="Y74" s="44">
        <v>0</v>
      </c>
      <c r="Z74" s="45">
        <v>1</v>
      </c>
      <c r="AB74" s="101" t="s">
        <v>101</v>
      </c>
      <c r="AC74" s="58">
        <v>1</v>
      </c>
      <c r="AE74" s="132" t="s">
        <v>140</v>
      </c>
      <c r="AF74" s="58">
        <v>4</v>
      </c>
      <c r="AH74" s="313" t="s">
        <v>322</v>
      </c>
      <c r="AI74" s="101">
        <v>36</v>
      </c>
      <c r="AK74" s="165">
        <v>100</v>
      </c>
      <c r="AL74" s="166">
        <v>1</v>
      </c>
      <c r="AM74" s="166">
        <v>2</v>
      </c>
      <c r="AN74" s="166">
        <v>100</v>
      </c>
      <c r="AO74" s="167">
        <v>150</v>
      </c>
    </row>
    <row r="75" spans="19:41" ht="19.5" customHeight="1">
      <c r="S75" s="8"/>
      <c r="T75" s="6"/>
      <c r="U75" s="6"/>
      <c r="V75" s="8"/>
      <c r="Y75" s="46">
        <v>299.9</v>
      </c>
      <c r="Z75" s="47">
        <v>2</v>
      </c>
      <c r="AB75" s="102" t="s">
        <v>102</v>
      </c>
      <c r="AC75" s="59">
        <v>4</v>
      </c>
      <c r="AE75" s="110" t="s">
        <v>141</v>
      </c>
      <c r="AF75" s="59">
        <v>2</v>
      </c>
      <c r="AH75" s="314" t="s">
        <v>323</v>
      </c>
      <c r="AI75" s="102">
        <v>24</v>
      </c>
      <c r="AK75" s="168">
        <v>150</v>
      </c>
      <c r="AL75" s="169">
        <v>2</v>
      </c>
      <c r="AM75" s="169">
        <v>3</v>
      </c>
      <c r="AN75" s="169">
        <v>150</v>
      </c>
      <c r="AO75" s="170">
        <v>200</v>
      </c>
    </row>
    <row r="76" spans="19:41" ht="19.5" customHeight="1">
      <c r="S76" s="50" t="s">
        <v>251</v>
      </c>
      <c r="T76" s="51">
        <v>1</v>
      </c>
      <c r="U76" s="6"/>
      <c r="V76" s="50" t="s">
        <v>251</v>
      </c>
      <c r="W76" s="58">
        <v>13</v>
      </c>
      <c r="Y76" s="46">
        <v>499.9</v>
      </c>
      <c r="Z76" s="47">
        <v>3</v>
      </c>
      <c r="AB76" s="102" t="s">
        <v>38</v>
      </c>
      <c r="AC76" s="59">
        <v>6</v>
      </c>
      <c r="AE76" s="110" t="s">
        <v>143</v>
      </c>
      <c r="AF76" s="59">
        <v>3</v>
      </c>
      <c r="AH76" s="314" t="s">
        <v>324</v>
      </c>
      <c r="AI76" s="102">
        <v>16</v>
      </c>
      <c r="AK76" s="168">
        <v>200</v>
      </c>
      <c r="AL76" s="169">
        <v>3</v>
      </c>
      <c r="AM76" s="169">
        <v>4</v>
      </c>
      <c r="AN76" s="169">
        <v>200</v>
      </c>
      <c r="AO76" s="170">
        <v>300</v>
      </c>
    </row>
    <row r="77" spans="19:41" ht="19.5" customHeight="1">
      <c r="S77" s="52" t="s">
        <v>252</v>
      </c>
      <c r="T77" s="53">
        <v>1</v>
      </c>
      <c r="U77" s="10"/>
      <c r="V77" s="54" t="s">
        <v>295</v>
      </c>
      <c r="W77" s="59">
        <v>13</v>
      </c>
      <c r="Y77" s="46">
        <v>999.9</v>
      </c>
      <c r="Z77" s="47">
        <v>4</v>
      </c>
      <c r="AB77" s="102" t="s">
        <v>103</v>
      </c>
      <c r="AC77" s="59">
        <v>2</v>
      </c>
      <c r="AE77" s="110" t="s">
        <v>16</v>
      </c>
      <c r="AF77" s="59">
        <v>1</v>
      </c>
      <c r="AH77" s="111" t="s">
        <v>120</v>
      </c>
      <c r="AI77" s="111">
        <v>0</v>
      </c>
      <c r="AK77" s="171">
        <v>300</v>
      </c>
      <c r="AL77" s="153">
        <v>4</v>
      </c>
      <c r="AM77" s="153">
        <v>4</v>
      </c>
      <c r="AN77" s="153">
        <v>300</v>
      </c>
      <c r="AO77" s="172">
        <v>300</v>
      </c>
    </row>
    <row r="78" spans="19:32" ht="19.5" customHeight="1">
      <c r="S78" s="52" t="s">
        <v>253</v>
      </c>
      <c r="T78" s="53">
        <v>1</v>
      </c>
      <c r="U78" s="10"/>
      <c r="V78" s="52" t="s">
        <v>296</v>
      </c>
      <c r="W78" s="59">
        <v>13</v>
      </c>
      <c r="Y78" s="46">
        <v>10000.1</v>
      </c>
      <c r="Z78" s="47">
        <v>5</v>
      </c>
      <c r="AB78" s="103" t="s">
        <v>105</v>
      </c>
      <c r="AC78" s="59">
        <v>5</v>
      </c>
      <c r="AE78" s="110" t="s">
        <v>17</v>
      </c>
      <c r="AF78" s="59">
        <v>5</v>
      </c>
    </row>
    <row r="79" spans="19:32" ht="19.5" customHeight="1">
      <c r="S79" s="52" t="s">
        <v>254</v>
      </c>
      <c r="T79" s="53">
        <v>1</v>
      </c>
      <c r="U79" s="10"/>
      <c r="V79" s="54" t="s">
        <v>255</v>
      </c>
      <c r="W79" s="59">
        <v>14</v>
      </c>
      <c r="Y79" s="48">
        <v>20000.1</v>
      </c>
      <c r="Z79" s="49">
        <v>6</v>
      </c>
      <c r="AB79" s="104" t="s">
        <v>104</v>
      </c>
      <c r="AC79" s="61">
        <v>3</v>
      </c>
      <c r="AE79" s="110" t="s">
        <v>18</v>
      </c>
      <c r="AF79" s="59">
        <v>7</v>
      </c>
    </row>
    <row r="80" spans="19:32" ht="19.5" customHeight="1">
      <c r="S80" s="54" t="s">
        <v>255</v>
      </c>
      <c r="T80" s="53">
        <v>2</v>
      </c>
      <c r="U80" s="10"/>
      <c r="V80" s="60" t="s">
        <v>297</v>
      </c>
      <c r="W80" s="59">
        <v>14</v>
      </c>
      <c r="AE80" s="133" t="s">
        <v>142</v>
      </c>
      <c r="AF80" s="61">
        <v>6</v>
      </c>
    </row>
    <row r="81" spans="19:29" ht="19.5" customHeight="1">
      <c r="S81" s="52" t="s">
        <v>256</v>
      </c>
      <c r="T81" s="53">
        <v>2</v>
      </c>
      <c r="U81" s="10"/>
      <c r="V81" s="60" t="s">
        <v>298</v>
      </c>
      <c r="W81" s="59">
        <v>14</v>
      </c>
      <c r="AB81" s="101" t="s">
        <v>159</v>
      </c>
      <c r="AC81" s="58">
        <v>1</v>
      </c>
    </row>
    <row r="82" spans="19:29" ht="19.5" customHeight="1">
      <c r="S82" s="52" t="s">
        <v>257</v>
      </c>
      <c r="T82" s="53">
        <v>3</v>
      </c>
      <c r="U82" s="10"/>
      <c r="V82" s="60" t="s">
        <v>299</v>
      </c>
      <c r="W82" s="59">
        <v>14</v>
      </c>
      <c r="AB82" s="102" t="s">
        <v>160</v>
      </c>
      <c r="AC82" s="59">
        <v>3</v>
      </c>
    </row>
    <row r="83" spans="19:29" ht="19.5" customHeight="1">
      <c r="S83" s="52" t="s">
        <v>258</v>
      </c>
      <c r="T83" s="53">
        <v>3</v>
      </c>
      <c r="U83" s="10"/>
      <c r="V83" s="60" t="s">
        <v>300</v>
      </c>
      <c r="W83" s="59">
        <v>14</v>
      </c>
      <c r="AB83" s="111" t="s">
        <v>161</v>
      </c>
      <c r="AC83" s="61">
        <v>2</v>
      </c>
    </row>
    <row r="84" spans="19:23" ht="19.5" customHeight="1">
      <c r="S84" s="52" t="s">
        <v>259</v>
      </c>
      <c r="T84" s="53">
        <v>3</v>
      </c>
      <c r="U84" s="10"/>
      <c r="V84" s="54" t="s">
        <v>257</v>
      </c>
      <c r="W84" s="59">
        <v>15</v>
      </c>
    </row>
    <row r="85" spans="19:23" ht="19.5" customHeight="1">
      <c r="S85" s="54" t="s">
        <v>260</v>
      </c>
      <c r="T85" s="53">
        <v>3</v>
      </c>
      <c r="U85" s="10"/>
      <c r="V85" s="52" t="s">
        <v>301</v>
      </c>
      <c r="W85" s="59">
        <v>15</v>
      </c>
    </row>
    <row r="86" spans="19:23" ht="19.5" customHeight="1">
      <c r="S86" s="52" t="s">
        <v>261</v>
      </c>
      <c r="T86" s="53">
        <v>4</v>
      </c>
      <c r="U86" s="10"/>
      <c r="V86" s="52" t="s">
        <v>302</v>
      </c>
      <c r="W86" s="59">
        <v>15</v>
      </c>
    </row>
    <row r="87" spans="19:23" ht="19.5" customHeight="1">
      <c r="S87" s="52" t="s">
        <v>262</v>
      </c>
      <c r="T87" s="53">
        <v>4</v>
      </c>
      <c r="U87" s="10"/>
      <c r="V87" s="54" t="s">
        <v>261</v>
      </c>
      <c r="W87" s="59">
        <v>16</v>
      </c>
    </row>
    <row r="88" spans="19:23" ht="19.5" customHeight="1">
      <c r="S88" s="52" t="s">
        <v>263</v>
      </c>
      <c r="T88" s="53">
        <v>5</v>
      </c>
      <c r="U88" s="10"/>
      <c r="V88" s="60" t="s">
        <v>303</v>
      </c>
      <c r="W88" s="59">
        <v>16</v>
      </c>
    </row>
    <row r="89" spans="19:23" ht="19.5" customHeight="1">
      <c r="S89" s="54" t="s">
        <v>264</v>
      </c>
      <c r="T89" s="53">
        <v>5</v>
      </c>
      <c r="U89" s="10"/>
      <c r="V89" s="60" t="s">
        <v>304</v>
      </c>
      <c r="W89" s="59">
        <v>16</v>
      </c>
    </row>
    <row r="90" spans="19:23" ht="19.5" customHeight="1">
      <c r="S90" s="52" t="s">
        <v>265</v>
      </c>
      <c r="T90" s="53">
        <v>5</v>
      </c>
      <c r="U90" s="10"/>
      <c r="V90" s="52" t="s">
        <v>305</v>
      </c>
      <c r="W90" s="59">
        <v>16</v>
      </c>
    </row>
    <row r="91" spans="19:23" ht="19.5" customHeight="1">
      <c r="S91" s="54" t="s">
        <v>266</v>
      </c>
      <c r="T91" s="53">
        <v>5</v>
      </c>
      <c r="U91" s="10"/>
      <c r="V91" s="52" t="s">
        <v>263</v>
      </c>
      <c r="W91" s="59">
        <v>17</v>
      </c>
    </row>
    <row r="92" spans="19:23" ht="19.5" customHeight="1">
      <c r="S92" s="52" t="s">
        <v>267</v>
      </c>
      <c r="T92" s="53">
        <v>6</v>
      </c>
      <c r="U92" s="10"/>
      <c r="V92" s="52" t="s">
        <v>306</v>
      </c>
      <c r="W92" s="59">
        <v>17</v>
      </c>
    </row>
    <row r="93" spans="19:23" ht="19.5" customHeight="1">
      <c r="S93" s="52" t="s">
        <v>268</v>
      </c>
      <c r="T93" s="53">
        <v>6</v>
      </c>
      <c r="U93" s="10"/>
      <c r="V93" s="54" t="s">
        <v>307</v>
      </c>
      <c r="W93" s="59">
        <v>17</v>
      </c>
    </row>
    <row r="94" spans="19:23" ht="19.5" customHeight="1">
      <c r="S94" s="52" t="s">
        <v>269</v>
      </c>
      <c r="T94" s="53">
        <v>6</v>
      </c>
      <c r="U94" s="10"/>
      <c r="V94" s="52" t="s">
        <v>308</v>
      </c>
      <c r="W94" s="59">
        <v>17</v>
      </c>
    </row>
    <row r="95" spans="19:23" ht="19.5" customHeight="1">
      <c r="S95" s="54" t="s">
        <v>270</v>
      </c>
      <c r="T95" s="53">
        <v>6</v>
      </c>
      <c r="U95" s="10"/>
      <c r="V95" s="52" t="s">
        <v>267</v>
      </c>
      <c r="W95" s="59">
        <v>18</v>
      </c>
    </row>
    <row r="96" spans="19:23" ht="19.5" customHeight="1">
      <c r="S96" s="52" t="s">
        <v>271</v>
      </c>
      <c r="T96" s="53">
        <v>6</v>
      </c>
      <c r="U96" s="10"/>
      <c r="V96" s="52" t="s">
        <v>309</v>
      </c>
      <c r="W96" s="59">
        <v>18</v>
      </c>
    </row>
    <row r="97" spans="19:23" ht="19.5" customHeight="1">
      <c r="S97" s="52" t="s">
        <v>272</v>
      </c>
      <c r="T97" s="55">
        <v>7</v>
      </c>
      <c r="U97" s="9"/>
      <c r="V97" s="52" t="s">
        <v>277</v>
      </c>
      <c r="W97" s="59">
        <v>19</v>
      </c>
    </row>
    <row r="98" spans="19:23" ht="19.5" customHeight="1">
      <c r="S98" s="52" t="s">
        <v>273</v>
      </c>
      <c r="T98" s="53">
        <v>7</v>
      </c>
      <c r="U98" s="10"/>
      <c r="V98" s="54" t="s">
        <v>325</v>
      </c>
      <c r="W98" s="59">
        <v>19</v>
      </c>
    </row>
    <row r="99" spans="19:23" ht="19.5" customHeight="1">
      <c r="S99" s="52" t="s">
        <v>274</v>
      </c>
      <c r="T99" s="53">
        <v>7</v>
      </c>
      <c r="U99" s="10"/>
      <c r="V99" s="52" t="s">
        <v>326</v>
      </c>
      <c r="W99" s="59">
        <v>19</v>
      </c>
    </row>
    <row r="100" spans="19:23" ht="19.5" customHeight="1">
      <c r="S100" s="52" t="s">
        <v>275</v>
      </c>
      <c r="T100" s="53">
        <v>7</v>
      </c>
      <c r="U100" s="10"/>
      <c r="V100" s="54" t="s">
        <v>310</v>
      </c>
      <c r="W100" s="59">
        <v>19</v>
      </c>
    </row>
    <row r="101" spans="19:23" ht="19.5" customHeight="1">
      <c r="S101" s="52" t="s">
        <v>276</v>
      </c>
      <c r="T101" s="53">
        <v>7</v>
      </c>
      <c r="U101" s="10"/>
      <c r="V101" s="54" t="s">
        <v>280</v>
      </c>
      <c r="W101" s="59">
        <v>20</v>
      </c>
    </row>
    <row r="102" spans="19:23" ht="19.5" customHeight="1">
      <c r="S102" s="54" t="s">
        <v>277</v>
      </c>
      <c r="T102" s="53">
        <v>8</v>
      </c>
      <c r="U102" s="10"/>
      <c r="V102" s="54" t="s">
        <v>311</v>
      </c>
      <c r="W102" s="59">
        <v>20</v>
      </c>
    </row>
    <row r="103" spans="19:23" ht="19.5" customHeight="1">
      <c r="S103" s="52" t="s">
        <v>278</v>
      </c>
      <c r="T103" s="53">
        <v>8</v>
      </c>
      <c r="U103" s="10"/>
      <c r="V103" s="60" t="s">
        <v>312</v>
      </c>
      <c r="W103" s="59">
        <v>20</v>
      </c>
    </row>
    <row r="104" spans="19:23" ht="19.5" customHeight="1">
      <c r="S104" s="52" t="s">
        <v>279</v>
      </c>
      <c r="T104" s="53">
        <v>8</v>
      </c>
      <c r="U104" s="10"/>
      <c r="V104" s="60" t="s">
        <v>283</v>
      </c>
      <c r="W104" s="59">
        <v>21</v>
      </c>
    </row>
    <row r="105" spans="19:23" ht="19.5" customHeight="1">
      <c r="S105" s="52" t="s">
        <v>280</v>
      </c>
      <c r="T105" s="53">
        <v>9</v>
      </c>
      <c r="U105" s="10"/>
      <c r="V105" s="60" t="s">
        <v>313</v>
      </c>
      <c r="W105" s="59">
        <v>21</v>
      </c>
    </row>
    <row r="106" spans="19:23" ht="19.5" customHeight="1">
      <c r="S106" s="52" t="s">
        <v>281</v>
      </c>
      <c r="T106" s="53">
        <v>9</v>
      </c>
      <c r="U106" s="10"/>
      <c r="V106" s="60"/>
      <c r="W106" s="59">
        <v>21</v>
      </c>
    </row>
    <row r="107" spans="19:23" ht="19.5" customHeight="1">
      <c r="S107" s="54" t="s">
        <v>282</v>
      </c>
      <c r="T107" s="53">
        <v>9</v>
      </c>
      <c r="U107" s="10"/>
      <c r="V107" s="60" t="s">
        <v>286</v>
      </c>
      <c r="W107" s="59">
        <v>22</v>
      </c>
    </row>
    <row r="108" spans="19:23" ht="19.5" customHeight="1">
      <c r="S108" s="52" t="s">
        <v>283</v>
      </c>
      <c r="T108" s="53">
        <v>10</v>
      </c>
      <c r="U108" s="10"/>
      <c r="V108" s="60" t="s">
        <v>314</v>
      </c>
      <c r="W108" s="59">
        <v>22</v>
      </c>
    </row>
    <row r="109" spans="19:23" ht="19.5" customHeight="1">
      <c r="S109" s="52" t="s">
        <v>284</v>
      </c>
      <c r="T109" s="53">
        <v>10</v>
      </c>
      <c r="U109" s="10"/>
      <c r="V109" s="60" t="s">
        <v>291</v>
      </c>
      <c r="W109" s="59">
        <v>23</v>
      </c>
    </row>
    <row r="110" spans="19:23" ht="19.5" customHeight="1">
      <c r="S110" s="52" t="s">
        <v>285</v>
      </c>
      <c r="T110" s="53">
        <v>10</v>
      </c>
      <c r="U110" s="10"/>
      <c r="V110" s="60" t="s">
        <v>315</v>
      </c>
      <c r="W110" s="59">
        <v>23</v>
      </c>
    </row>
    <row r="111" spans="19:23" ht="19.5" customHeight="1">
      <c r="S111" s="52" t="s">
        <v>286</v>
      </c>
      <c r="T111" s="53">
        <v>11</v>
      </c>
      <c r="U111" s="10"/>
      <c r="V111" s="54" t="s">
        <v>316</v>
      </c>
      <c r="W111" s="59">
        <v>23</v>
      </c>
    </row>
    <row r="112" spans="19:23" ht="19.5" customHeight="1">
      <c r="S112" s="52" t="s">
        <v>287</v>
      </c>
      <c r="T112" s="53">
        <v>11</v>
      </c>
      <c r="U112" s="10"/>
      <c r="V112" s="54" t="s">
        <v>317</v>
      </c>
      <c r="W112" s="59">
        <v>23</v>
      </c>
    </row>
    <row r="113" spans="19:23" ht="19.5" customHeight="1">
      <c r="S113" s="54" t="s">
        <v>288</v>
      </c>
      <c r="T113" s="53">
        <v>11</v>
      </c>
      <c r="U113" s="10"/>
      <c r="V113" s="52" t="s">
        <v>318</v>
      </c>
      <c r="W113" s="59">
        <v>23</v>
      </c>
    </row>
    <row r="114" spans="19:23" ht="19.5" customHeight="1">
      <c r="S114" s="52" t="s">
        <v>289</v>
      </c>
      <c r="T114" s="53">
        <v>11</v>
      </c>
      <c r="U114" s="10"/>
      <c r="V114" s="54" t="s">
        <v>319</v>
      </c>
      <c r="W114" s="59">
        <v>23</v>
      </c>
    </row>
    <row r="115" spans="19:23" ht="19.5" customHeight="1">
      <c r="S115" s="52" t="s">
        <v>290</v>
      </c>
      <c r="T115" s="53">
        <v>11</v>
      </c>
      <c r="U115" s="10"/>
      <c r="V115" s="52" t="s">
        <v>320</v>
      </c>
      <c r="W115" s="59">
        <v>23</v>
      </c>
    </row>
    <row r="116" spans="19:23" ht="19.5" customHeight="1">
      <c r="S116" s="54" t="s">
        <v>291</v>
      </c>
      <c r="T116" s="53">
        <v>12</v>
      </c>
      <c r="U116" s="10"/>
      <c r="V116" s="52" t="s">
        <v>321</v>
      </c>
      <c r="W116" s="59">
        <v>23</v>
      </c>
    </row>
    <row r="117" spans="19:23" ht="19.5" customHeight="1">
      <c r="S117" s="52" t="s">
        <v>292</v>
      </c>
      <c r="T117" s="53">
        <v>12</v>
      </c>
      <c r="U117" s="10"/>
      <c r="V117" s="56" t="s">
        <v>34</v>
      </c>
      <c r="W117" s="61">
        <v>23</v>
      </c>
    </row>
    <row r="118" spans="19:22" ht="19.5" customHeight="1">
      <c r="S118" s="52" t="s">
        <v>293</v>
      </c>
      <c r="T118" s="53">
        <v>12</v>
      </c>
      <c r="U118" s="10"/>
      <c r="V118" s="8"/>
    </row>
    <row r="119" spans="19:22" ht="19.5" customHeight="1">
      <c r="S119" s="54" t="s">
        <v>294</v>
      </c>
      <c r="T119" s="53">
        <v>12</v>
      </c>
      <c r="U119" s="10"/>
      <c r="V119" s="8"/>
    </row>
    <row r="120" spans="19:22" ht="19.5" customHeight="1">
      <c r="S120" s="54" t="s">
        <v>244</v>
      </c>
      <c r="T120" s="53" t="s">
        <v>195</v>
      </c>
      <c r="U120" s="10"/>
      <c r="V120" s="8"/>
    </row>
    <row r="121" spans="19:21" ht="19.5" customHeight="1">
      <c r="S121" s="54" t="s">
        <v>139</v>
      </c>
      <c r="T121" s="55" t="s">
        <v>196</v>
      </c>
      <c r="U121" s="10"/>
    </row>
    <row r="122" spans="19:21" ht="19.5" customHeight="1">
      <c r="S122" s="131" t="s">
        <v>245</v>
      </c>
      <c r="T122" s="57" t="s">
        <v>197</v>
      </c>
      <c r="U122" s="10"/>
    </row>
    <row r="123" ht="19.5" customHeight="1">
      <c r="U123" s="10"/>
    </row>
    <row r="124" ht="19.5" customHeight="1">
      <c r="U124" s="10"/>
    </row>
    <row r="125" ht="19.5" customHeight="1">
      <c r="U125" s="10"/>
    </row>
    <row r="126" ht="19.5" customHeight="1">
      <c r="U126" s="10"/>
    </row>
    <row r="127" ht="19.5" customHeight="1">
      <c r="U127" s="10"/>
    </row>
    <row r="128" ht="19.5" customHeight="1">
      <c r="U128" s="10"/>
    </row>
    <row r="129" ht="19.5" customHeight="1">
      <c r="U129" s="10"/>
    </row>
    <row r="130" ht="19.5" customHeight="1">
      <c r="U130" s="10"/>
    </row>
    <row r="131" ht="19.5" customHeight="1">
      <c r="U131" s="10"/>
    </row>
    <row r="132" ht="19.5" customHeight="1">
      <c r="U132" s="10"/>
    </row>
  </sheetData>
  <sheetProtection sheet="1"/>
  <mergeCells count="94">
    <mergeCell ref="D5:K5"/>
    <mergeCell ref="D6:K6"/>
    <mergeCell ref="D7:E7"/>
    <mergeCell ref="F7:G7"/>
    <mergeCell ref="D8:E8"/>
    <mergeCell ref="C9:C10"/>
    <mergeCell ref="D9:G9"/>
    <mergeCell ref="H9:K9"/>
    <mergeCell ref="D10:G10"/>
    <mergeCell ref="H10:K10"/>
    <mergeCell ref="D11:E11"/>
    <mergeCell ref="H11:I11"/>
    <mergeCell ref="J11:K11"/>
    <mergeCell ref="D13:G13"/>
    <mergeCell ref="H13:K13"/>
    <mergeCell ref="C15:C19"/>
    <mergeCell ref="D15:J15"/>
    <mergeCell ref="D16:J16"/>
    <mergeCell ref="D17:J17"/>
    <mergeCell ref="D18:J18"/>
    <mergeCell ref="D19:J19"/>
    <mergeCell ref="D20:G20"/>
    <mergeCell ref="H20:I21"/>
    <mergeCell ref="E21:F21"/>
    <mergeCell ref="C23:C25"/>
    <mergeCell ref="D23:I23"/>
    <mergeCell ref="J23:L23"/>
    <mergeCell ref="D24:E24"/>
    <mergeCell ref="F24:G24"/>
    <mergeCell ref="H24:I24"/>
    <mergeCell ref="J24:J25"/>
    <mergeCell ref="K24:K25"/>
    <mergeCell ref="L24:L25"/>
    <mergeCell ref="D26:E26"/>
    <mergeCell ref="F26:G26"/>
    <mergeCell ref="H26:I26"/>
    <mergeCell ref="C27:C28"/>
    <mergeCell ref="J27:J28"/>
    <mergeCell ref="K27:K28"/>
    <mergeCell ref="L27:L28"/>
    <mergeCell ref="D28:E28"/>
    <mergeCell ref="F28:G28"/>
    <mergeCell ref="H28:I28"/>
    <mergeCell ref="C29:C30"/>
    <mergeCell ref="J29:J30"/>
    <mergeCell ref="K29:K30"/>
    <mergeCell ref="L29:L30"/>
    <mergeCell ref="D30:E30"/>
    <mergeCell ref="F30:G30"/>
    <mergeCell ref="H30:I30"/>
    <mergeCell ref="D31:E31"/>
    <mergeCell ref="F31:G31"/>
    <mergeCell ref="H31:I31"/>
    <mergeCell ref="J31:J34"/>
    <mergeCell ref="K31:K34"/>
    <mergeCell ref="L31:L34"/>
    <mergeCell ref="D32:E32"/>
    <mergeCell ref="F34:G34"/>
    <mergeCell ref="H34:I34"/>
    <mergeCell ref="D35:I35"/>
    <mergeCell ref="D36:I36"/>
    <mergeCell ref="J36:L36"/>
    <mergeCell ref="J40:J41"/>
    <mergeCell ref="K40:K41"/>
    <mergeCell ref="L40:L41"/>
    <mergeCell ref="D42:E42"/>
    <mergeCell ref="F42:G42"/>
    <mergeCell ref="H42:I42"/>
    <mergeCell ref="J42:J43"/>
    <mergeCell ref="K42:K43"/>
    <mergeCell ref="L42:L43"/>
    <mergeCell ref="D43:E43"/>
    <mergeCell ref="F43:G43"/>
    <mergeCell ref="H43:I43"/>
    <mergeCell ref="C45:C46"/>
    <mergeCell ref="D45:F45"/>
    <mergeCell ref="G45:I45"/>
    <mergeCell ref="D48:F48"/>
    <mergeCell ref="G48:I48"/>
    <mergeCell ref="D53:F53"/>
    <mergeCell ref="G53:I53"/>
    <mergeCell ref="D54:F54"/>
    <mergeCell ref="G54:I54"/>
    <mergeCell ref="I56:J56"/>
    <mergeCell ref="D58:E58"/>
    <mergeCell ref="I58:J58"/>
    <mergeCell ref="D60:E60"/>
    <mergeCell ref="I60:J60"/>
    <mergeCell ref="I62:J62"/>
    <mergeCell ref="I64:J64"/>
    <mergeCell ref="I66:J66"/>
    <mergeCell ref="D68:G68"/>
    <mergeCell ref="I68:J68"/>
    <mergeCell ref="C70:C71"/>
  </mergeCells>
  <conditionalFormatting sqref="D10:G10">
    <cfRule type="expression" priority="7" dxfId="3" stopIfTrue="1">
      <formula>ISTEXT($H$10)</formula>
    </cfRule>
  </conditionalFormatting>
  <conditionalFormatting sqref="H10:K10">
    <cfRule type="expression" priority="8" dxfId="3" stopIfTrue="1">
      <formula>ISTEXT($D$10)</formula>
    </cfRule>
  </conditionalFormatting>
  <conditionalFormatting sqref="K18:K19">
    <cfRule type="expression" priority="9" dxfId="3" stopIfTrue="1">
      <formula>OR($O$13=6,$P$13=1,$P$13=2,$P$13=5,ISTEXT($O$12))</formula>
    </cfRule>
  </conditionalFormatting>
  <conditionalFormatting sqref="K15:K17">
    <cfRule type="expression" priority="10" dxfId="3" stopIfTrue="1">
      <formula>OR($O$13=6,$P$13=1,$P$13=3,$P$13=7,ISTEXT($O$12))</formula>
    </cfRule>
  </conditionalFormatting>
  <conditionalFormatting sqref="G21">
    <cfRule type="expression" priority="5" dxfId="2" stopIfTrue="1">
      <formula>OR($O$13=1,$O$13=2,$O$13=4,ISTEXT($O$12))</formula>
    </cfRule>
  </conditionalFormatting>
  <conditionalFormatting sqref="D21">
    <cfRule type="expression" priority="6" dxfId="5" stopIfTrue="1">
      <formula>OR(O13=1,O13=6,ISTEXT($O$12))</formula>
    </cfRule>
  </conditionalFormatting>
  <conditionalFormatting sqref="D20:E20">
    <cfRule type="expression" priority="4" dxfId="3" stopIfTrue="1">
      <formula>OR(O13=1,O13=6,ISTEXT($O$12))</formula>
    </cfRule>
  </conditionalFormatting>
  <conditionalFormatting sqref="F20:G20">
    <cfRule type="expression" priority="11" dxfId="3" stopIfTrue="1">
      <formula>OR(R13=1,R13=6,ISTEXT($O$12))</formula>
    </cfRule>
  </conditionalFormatting>
  <conditionalFormatting sqref="H13:K13">
    <cfRule type="expression" priority="3" dxfId="2" stopIfTrue="1">
      <formula>$O$12="Data_9"</formula>
    </cfRule>
  </conditionalFormatting>
  <conditionalFormatting sqref="F7:G7">
    <cfRule type="expression" priority="1" dxfId="11" stopIfTrue="1">
      <formula>$L$1="西暦"</formula>
    </cfRule>
    <cfRule type="expression" priority="2" dxfId="12" stopIfTrue="1">
      <formula>$L$1="和暦"</formula>
    </cfRule>
  </conditionalFormatting>
  <dataValidations count="14">
    <dataValidation type="list" allowBlank="1" showErrorMessage="1" sqref="F20:G20">
      <formula1>IF(OR(R13=1,R13=6,ISTEXT($O$12)),$P$11,$AH$74:$AH$77)</formula1>
    </dataValidation>
    <dataValidation type="list" allowBlank="1" showErrorMessage="1" sqref="D20:E20">
      <formula1>IF(OR(O13=1,O13=6,ISTEXT($O$12)),$P$11,$AH$74:$AH$77)</formula1>
    </dataValidation>
    <dataValidation type="list" allowBlank="1" showErrorMessage="1" sqref="I10:K10">
      <formula1>IF(ISTEXT($D$10),R11,$V$76:$V$117)</formula1>
    </dataValidation>
    <dataValidation type="list" allowBlank="1" showErrorMessage="1" sqref="H10">
      <formula1>IF(ISTEXT($D$10),P11,$V$76:$V$117)</formula1>
    </dataValidation>
    <dataValidation type="list" allowBlank="1" showErrorMessage="1" sqref="E10:G10">
      <formula1>IF(ISTEXT($H$10),R11,$S$76:$S$122)</formula1>
    </dataValidation>
    <dataValidation type="list" allowBlank="1" showErrorMessage="1" sqref="D10">
      <formula1>IF(ISTEXT($H$10),P11,$S$76:$S$122)</formula1>
    </dataValidation>
    <dataValidation type="list" allowBlank="1" showErrorMessage="1" sqref="H13:K13">
      <formula1>IF($P$10=1,$P$11,$AE$74:$AE$80)</formula1>
    </dataValidation>
    <dataValidation type="list" allowBlank="1" showErrorMessage="1" sqref="D13:G13">
      <formula1>IF(ISTEXT($O$12),$AB$81:$AB$83,$AB$74:$AB$79)</formula1>
    </dataValidation>
    <dataValidation type="list" allowBlank="1" showErrorMessage="1" sqref="L1">
      <formula1>"和暦,西暦"</formula1>
    </dataValidation>
    <dataValidation type="list" allowBlank="1" showInputMessage="1" showErrorMessage="1" sqref="G21">
      <formula1>IF(OR($O$13=1,$O$13=2,$O$13=4,ISTEXT($O$12)),$O$11,$O$7:$O$8)</formula1>
    </dataValidation>
    <dataValidation type="list" allowBlank="1" showInputMessage="1" showErrorMessage="1" sqref="D21">
      <formula1>IF(OR(O13=1,O13=6,ISTEXT($O$12)),$P$11,$O$7:$O$8)</formula1>
    </dataValidation>
    <dataValidation type="list" allowBlank="1" showInputMessage="1" showErrorMessage="1" sqref="K18:K19">
      <formula1>IF(OR($O$13=6,$P$13=1,$P$13=2,$P$13=5,ISTEXT($O$12)),$P$11,$O$7:$O$8)</formula1>
    </dataValidation>
    <dataValidation type="list" allowBlank="1" showInputMessage="1" showErrorMessage="1" sqref="K15:K17">
      <formula1>IF(OR($O$13=6,$P$13=1,$P$13=3,$P$13=7,ISTEXT($O$12)),$P$11,$O$7:$O$8)</formula1>
    </dataValidation>
    <dataValidation type="custom" allowBlank="1" showErrorMessage="1" error="戸建住宅では100㎡～300㎡以外は計算出来ません。" sqref="D11:E11">
      <formula1>IF(ISTEXT(O12),AND(D11&gt;99,D11&lt;301),D11&gt;0)</formula1>
    </dataValidation>
  </dataValidations>
  <printOptions/>
  <pageMargins left="0.5905511811023623" right="0" top="0.7480314960629921" bottom="0" header="0" footer="0"/>
  <pageSetup horizontalDpi="600" verticalDpi="600" orientation="portrait" paperSize="9" scale="75" r:id="rId2"/>
  <legacyDrawing r:id="rId1"/>
</worksheet>
</file>

<file path=xl/worksheets/sheet3.xml><?xml version="1.0" encoding="utf-8"?>
<worksheet xmlns="http://schemas.openxmlformats.org/spreadsheetml/2006/main" xmlns:r="http://schemas.openxmlformats.org/officeDocument/2006/relationships">
  <sheetPr codeName="Sheet6"/>
  <dimension ref="B1:N46"/>
  <sheetViews>
    <sheetView zoomScalePageLayoutView="0" workbookViewId="0" topLeftCell="A1">
      <selection activeCell="A1" sqref="A1"/>
    </sheetView>
  </sheetViews>
  <sheetFormatPr defaultColWidth="8.57421875" defaultRowHeight="15.75" customHeight="1"/>
  <cols>
    <col min="1" max="1" width="2.57421875" style="5" customWidth="1"/>
    <col min="2" max="2" width="10.57421875" style="5" customWidth="1"/>
    <col min="3" max="3" width="13.140625" style="5" customWidth="1"/>
    <col min="4" max="4" width="28.57421875" style="5" customWidth="1"/>
    <col min="5" max="5" width="4.57421875" style="5" customWidth="1"/>
    <col min="6" max="6" width="6.57421875" style="5" customWidth="1"/>
    <col min="7" max="7" width="10.57421875" style="5" customWidth="1"/>
    <col min="8" max="8" width="13.140625" style="5" customWidth="1"/>
    <col min="9" max="9" width="28.57421875" style="5" customWidth="1"/>
    <col min="10" max="10" width="4.57421875" style="5" customWidth="1"/>
    <col min="11" max="11" width="6.57421875" style="5" customWidth="1"/>
    <col min="12" max="12" width="2.57421875" style="5" customWidth="1"/>
    <col min="13" max="14" width="8.57421875" style="5" hidden="1" customWidth="1"/>
    <col min="15" max="16384" width="8.57421875" style="5" customWidth="1"/>
  </cols>
  <sheetData>
    <row r="1" spans="2:6" ht="25.5" customHeight="1">
      <c r="B1" s="127"/>
      <c r="C1" s="127" t="s">
        <v>132</v>
      </c>
      <c r="E1" s="98" t="s">
        <v>198</v>
      </c>
      <c r="F1" s="5" t="s">
        <v>131</v>
      </c>
    </row>
    <row r="2" ht="25.5" customHeight="1" thickBot="1">
      <c r="C2" s="127" t="s">
        <v>193</v>
      </c>
    </row>
    <row r="3" spans="2:11" ht="25.5" customHeight="1">
      <c r="B3" s="281" t="s">
        <v>231</v>
      </c>
      <c r="C3" s="282"/>
      <c r="D3" s="283"/>
      <c r="E3" s="284"/>
      <c r="F3" s="284" t="s">
        <v>232</v>
      </c>
      <c r="G3" s="496">
        <f>IF('積算'!D5="","",'積算'!D5)</f>
      </c>
      <c r="H3" s="497"/>
      <c r="I3" s="497"/>
      <c r="J3" s="497"/>
      <c r="K3" s="498"/>
    </row>
    <row r="4" spans="2:11" ht="27.75" customHeight="1">
      <c r="B4" s="285" t="s">
        <v>42</v>
      </c>
      <c r="C4" s="286"/>
      <c r="D4" s="286"/>
      <c r="E4" s="286"/>
      <c r="F4" s="286"/>
      <c r="G4" s="287" t="s">
        <v>133</v>
      </c>
      <c r="H4" s="286"/>
      <c r="I4" s="286"/>
      <c r="J4" s="286"/>
      <c r="K4" s="288"/>
    </row>
    <row r="5" spans="2:11" ht="19.5" customHeight="1">
      <c r="B5" s="94"/>
      <c r="C5" s="499" t="s">
        <v>43</v>
      </c>
      <c r="D5" s="500"/>
      <c r="E5" s="83"/>
      <c r="F5" s="95"/>
      <c r="G5" s="96"/>
      <c r="H5" s="501" t="s">
        <v>43</v>
      </c>
      <c r="I5" s="502"/>
      <c r="J5" s="83"/>
      <c r="K5" s="84"/>
    </row>
    <row r="6" spans="2:13" ht="27.75" customHeight="1">
      <c r="B6" s="480" t="s">
        <v>69</v>
      </c>
      <c r="C6" s="472" t="s">
        <v>70</v>
      </c>
      <c r="D6" s="87" t="s">
        <v>44</v>
      </c>
      <c r="E6" s="298" t="s">
        <v>100</v>
      </c>
      <c r="F6" s="80">
        <f>IF(OR($M$6="",E6="",,'積算'!D11="",ISTEXT('積算'!O12)),"",IF(AND(ISTEXT(E6),E6="○"),INDEX(Data_5,1,VLOOKUP('積算'!D11,$M$36:$N$46,2)),""))</f>
      </c>
      <c r="G6" s="503" t="s">
        <v>134</v>
      </c>
      <c r="H6" s="493" t="s">
        <v>78</v>
      </c>
      <c r="I6" s="85" t="s">
        <v>57</v>
      </c>
      <c r="J6" s="298" t="s">
        <v>100</v>
      </c>
      <c r="K6" s="78">
        <f>IF(OR($M$8="",J6="",,'積算'!D11="",ISTEXT('積算'!O12)),"",IF(AND(ISTEXT(J6),J6="○"),INDEX(Data_6,1,VLOOKUP('積算'!D11,$M$36:$N$46,2)),""))</f>
      </c>
      <c r="M6" s="164">
        <f>IF(OR('積算'!$O$13="",'積算'!$O$13&lt;4),1,"")</f>
        <v>1</v>
      </c>
    </row>
    <row r="7" spans="2:13" ht="27.75" customHeight="1">
      <c r="B7" s="481"/>
      <c r="C7" s="473"/>
      <c r="D7" s="89" t="s">
        <v>86</v>
      </c>
      <c r="E7" s="299" t="s">
        <v>198</v>
      </c>
      <c r="F7" s="242">
        <f>IF(OR($M$6="",E7="",,'積算'!D11="",ISTEXT('積算'!O12)),"",IF(AND(ISTEXT(E7),E7="○"),INDEX(Data_5,2,VLOOKUP('積算'!D11,$M$36:$N$46,2)),""))</f>
      </c>
      <c r="G7" s="504"/>
      <c r="H7" s="494"/>
      <c r="I7" s="86" t="s">
        <v>79</v>
      </c>
      <c r="J7" s="298" t="s">
        <v>198</v>
      </c>
      <c r="K7" s="78">
        <f>IF(OR($M$8="",J7="",,'積算'!D11="",ISTEXT('積算'!O12)),"",IF(AND(ISTEXT(J7),J7="○"),INDEX(Data_6,2,VLOOKUP('積算'!D11,$M$36:$N$46,2)),""))</f>
      </c>
      <c r="M7" s="164">
        <f>IF(OR('積算'!$O$13="",AND('積算'!$O$13&gt;1,'積算'!$O$13&lt;6)),1,"")</f>
        <v>1</v>
      </c>
    </row>
    <row r="8" spans="2:13" ht="27.75" customHeight="1">
      <c r="B8" s="481"/>
      <c r="C8" s="472" t="s">
        <v>71</v>
      </c>
      <c r="D8" s="87" t="s">
        <v>58</v>
      </c>
      <c r="E8" s="298" t="s">
        <v>198</v>
      </c>
      <c r="F8" s="80">
        <f>IF(OR($M$6="",E8="",,'積算'!D11="",ISTEXT('積算'!O12)),"",IF(AND(ISTEXT(E8),E8="○"),INDEX(Data_5,3,VLOOKUP('積算'!D11,$M$36:$N$46,2)),""))</f>
      </c>
      <c r="G8" s="504"/>
      <c r="H8" s="493" t="s">
        <v>80</v>
      </c>
      <c r="I8" s="85" t="s">
        <v>59</v>
      </c>
      <c r="J8" s="298" t="s">
        <v>198</v>
      </c>
      <c r="K8" s="78">
        <f>IF(OR($M$8="",J8="",,'積算'!D11="",ISTEXT('積算'!O12)),"",IF(AND(ISTEXT(J8),J8="○"),INDEX(Data_6,3,VLOOKUP('積算'!D11,$M$36:$N$46,2)),""))</f>
      </c>
      <c r="M8" s="164">
        <f>IF(OR('積算'!$O$13="",'積算'!$O$13=3,'積算'!$O$13=5,'積算'!$O$13=6),1,"")</f>
        <v>1</v>
      </c>
    </row>
    <row r="9" spans="2:11" ht="27.75" customHeight="1">
      <c r="B9" s="481"/>
      <c r="C9" s="473"/>
      <c r="D9" s="89" t="s">
        <v>87</v>
      </c>
      <c r="E9" s="299" t="s">
        <v>198</v>
      </c>
      <c r="F9" s="242">
        <f>IF(OR($M$6="",E9="",,'積算'!D11="",ISTEXT('積算'!O12)),"",IF(AND(ISTEXT(E9),E9="○"),INDEX(Data_5,4,VLOOKUP('積算'!D11,$M$36:$N$46,2)),""))</f>
      </c>
      <c r="G9" s="504"/>
      <c r="H9" s="494"/>
      <c r="I9" s="86" t="s">
        <v>60</v>
      </c>
      <c r="J9" s="298" t="s">
        <v>198</v>
      </c>
      <c r="K9" s="78">
        <f>IF(OR($M$8="",J9="",,'積算'!D11="",ISTEXT('積算'!O12)),"",IF(AND(ISTEXT(J9),J9="○"),INDEX(Data_6,4,VLOOKUP('積算'!D11,$M$36:$N$46,2)),""))</f>
      </c>
    </row>
    <row r="10" spans="2:11" ht="27.75" customHeight="1">
      <c r="B10" s="481"/>
      <c r="C10" s="484" t="s">
        <v>88</v>
      </c>
      <c r="D10" s="485"/>
      <c r="E10" s="300" t="s">
        <v>198</v>
      </c>
      <c r="F10" s="243">
        <f>IF(OR($M$6="",E10="",,'積算'!D11="",ISTEXT('積算'!O12)),"",IF(AND(ISTEXT(E10),E10="○"),INDEX(Data_5,5,VLOOKUP('積算'!D11,$M$36:$N$46,2)),""))</f>
      </c>
      <c r="G10" s="504"/>
      <c r="H10" s="493" t="s">
        <v>81</v>
      </c>
      <c r="I10" s="85" t="s">
        <v>61</v>
      </c>
      <c r="J10" s="298" t="s">
        <v>198</v>
      </c>
      <c r="K10" s="78">
        <f>IF(OR($M$8="",J10="",,'積算'!D11="",ISTEXT('積算'!O12)),"",IF(AND(ISTEXT(J10),J10="○"),INDEX(Data_6,5,VLOOKUP('積算'!D11,$M$36:$N$46,2)),""))</f>
      </c>
    </row>
    <row r="11" spans="2:11" ht="27.75" customHeight="1">
      <c r="B11" s="481"/>
      <c r="C11" s="490" t="s">
        <v>72</v>
      </c>
      <c r="D11" s="90" t="s">
        <v>46</v>
      </c>
      <c r="E11" s="298" t="s">
        <v>198</v>
      </c>
      <c r="F11" s="80">
        <f>IF(OR($M$6="",E11="",,'積算'!D11="",ISTEXT('積算'!O12)),"",IF(AND(ISTEXT(E11),E11="○"),INDEX(Data_5,6,VLOOKUP('積算'!D11,$M$36:$N$46,2)),""))</f>
      </c>
      <c r="G11" s="504"/>
      <c r="H11" s="494"/>
      <c r="I11" s="86" t="s">
        <v>82</v>
      </c>
      <c r="J11" s="298" t="s">
        <v>198</v>
      </c>
      <c r="K11" s="78">
        <f>IF(OR($M$8="",J11="",,'積算'!D11="",ISTEXT('積算'!O12)),"",IF(AND(ISTEXT(J11),J11="○"),INDEX(Data_6,6,VLOOKUP('積算'!D11,$M$36:$N$46,2)),""))</f>
      </c>
    </row>
    <row r="12" spans="2:11" ht="27.75" customHeight="1">
      <c r="B12" s="481"/>
      <c r="C12" s="491"/>
      <c r="D12" s="89" t="s">
        <v>89</v>
      </c>
      <c r="E12" s="299" t="s">
        <v>198</v>
      </c>
      <c r="F12" s="242">
        <f>IF(OR($M$6="",E12="",,'積算'!D11="",ISTEXT('積算'!O12)),"",IF(AND(ISTEXT(E12),E12="○"),INDEX(Data_5,7,VLOOKUP('積算'!D11,$M$36:$N$46,2)),""))</f>
      </c>
      <c r="G12" s="504"/>
      <c r="H12" s="470" t="s">
        <v>62</v>
      </c>
      <c r="I12" s="471"/>
      <c r="J12" s="298" t="s">
        <v>198</v>
      </c>
      <c r="K12" s="78">
        <f>IF(OR($M$8="",J12="",,'積算'!D11="",ISTEXT('積算'!O12)),"",IF(AND(ISTEXT(J12),J12="○"),INDEX(Data_6,7,VLOOKUP('積算'!D11,$M$36:$N$46,2)),""))</f>
      </c>
    </row>
    <row r="13" spans="2:11" ht="27.75" customHeight="1">
      <c r="B13" s="481"/>
      <c r="C13" s="495" t="s">
        <v>49</v>
      </c>
      <c r="D13" s="486"/>
      <c r="E13" s="300" t="s">
        <v>198</v>
      </c>
      <c r="F13" s="243">
        <f>IF(OR($M$6="",E13="",,'積算'!D11="",ISTEXT('積算'!O12)),"",IF(AND(ISTEXT(E13),E13="○"),INDEX(Data_5,8,VLOOKUP('積算'!D11,$M$36:$N$46,2)),""))</f>
      </c>
      <c r="G13" s="504"/>
      <c r="H13" s="470" t="s">
        <v>96</v>
      </c>
      <c r="I13" s="471"/>
      <c r="J13" s="298" t="s">
        <v>198</v>
      </c>
      <c r="K13" s="78">
        <f>IF(OR($M$8="",J13="",,'積算'!D11="",ISTEXT('積算'!O12)),"",IF(AND(ISTEXT(J13),J13="○"),INDEX(Data_6,8,VLOOKUP('積算'!D11,$M$36:$N$46,2)),""))</f>
      </c>
    </row>
    <row r="14" spans="2:11" ht="27.75" customHeight="1">
      <c r="B14" s="481"/>
      <c r="C14" s="486" t="s">
        <v>47</v>
      </c>
      <c r="D14" s="486"/>
      <c r="E14" s="300" t="s">
        <v>198</v>
      </c>
      <c r="F14" s="243">
        <f>IF(OR($M$6="",E14="",,'積算'!D11="",ISTEXT('積算'!O12)),"",IF(AND(ISTEXT(E14),E14="○"),INDEX(Data_5,9,VLOOKUP('積算'!D11,$M$36:$N$46,2)),""))</f>
      </c>
      <c r="G14" s="504"/>
      <c r="H14" s="470" t="s">
        <v>63</v>
      </c>
      <c r="I14" s="471"/>
      <c r="J14" s="298" t="s">
        <v>198</v>
      </c>
      <c r="K14" s="78">
        <f>IF(OR($M$8="",J14="",,'積算'!D11="",ISTEXT('積算'!O12)),"",IF(AND(ISTEXT(J14),J14="○"),INDEX(Data_6,9,VLOOKUP('積算'!D11,$M$36:$N$46,2)),""))</f>
      </c>
    </row>
    <row r="15" spans="2:11" ht="27.75" customHeight="1">
      <c r="B15" s="481"/>
      <c r="C15" s="486" t="s">
        <v>48</v>
      </c>
      <c r="D15" s="486"/>
      <c r="E15" s="300" t="s">
        <v>198</v>
      </c>
      <c r="F15" s="243">
        <f>IF(OR($M$6="",E15="",,'積算'!D11="",ISTEXT('積算'!O12)),"",IF(AND(ISTEXT(E15),E15="○"),INDEX(Data_5,10,VLOOKUP('積算'!D11,$M$36:$N$46,2)),""))</f>
      </c>
      <c r="G15" s="487" t="s">
        <v>135</v>
      </c>
      <c r="H15" s="470" t="s">
        <v>64</v>
      </c>
      <c r="I15" s="471"/>
      <c r="J15" s="298" t="s">
        <v>198</v>
      </c>
      <c r="K15" s="78">
        <f>IF(OR($M$8="",J15="",,'積算'!D11="",ISTEXT('積算'!O12)),"",IF(AND(ISTEXT(J15),J15="○"),INDEX(Data_6,10,VLOOKUP('積算'!D11,$M$36:$N$46,2)),""))</f>
      </c>
    </row>
    <row r="16" spans="2:13" ht="27.75" customHeight="1">
      <c r="B16" s="480" t="s">
        <v>73</v>
      </c>
      <c r="C16" s="490" t="s">
        <v>75</v>
      </c>
      <c r="D16" s="90" t="s">
        <v>50</v>
      </c>
      <c r="E16" s="298" t="s">
        <v>198</v>
      </c>
      <c r="F16" s="80">
        <f>IF(OR($M$7="",E16="",,'積算'!D11="",ISTEXT('積算'!O12)),"",IF(AND(ISTEXT(E16),E16="○"),INDEX(Data_5,11,VLOOKUP('積算'!D11,$M$36:$N$46,2)),""))</f>
      </c>
      <c r="G16" s="488"/>
      <c r="H16" s="470" t="s">
        <v>65</v>
      </c>
      <c r="I16" s="471"/>
      <c r="J16" s="298" t="s">
        <v>198</v>
      </c>
      <c r="K16" s="78">
        <f>IF(OR($M$8="",J16="",,'積算'!D11="",ISTEXT('積算'!O12)),"",IF(AND(ISTEXT(J16),J16="○"),INDEX(Data_6,11,VLOOKUP('積算'!D11,$M$36:$N$46,2)),""))</f>
      </c>
      <c r="M16" s="307">
        <f>IF('積算'!$D$11="","",INDEX(Data_5,11,VLOOKUP('積算'!$D$11,$M$36:$N$46,2)))</f>
      </c>
    </row>
    <row r="17" spans="2:13" ht="27.75" customHeight="1">
      <c r="B17" s="481"/>
      <c r="C17" s="491"/>
      <c r="D17" s="89" t="s">
        <v>90</v>
      </c>
      <c r="E17" s="299" t="s">
        <v>198</v>
      </c>
      <c r="F17" s="242">
        <f>IF(OR($M$7="",E17="",,'積算'!D11="",ISTEXT('積算'!O12)),"",IF(AND(ISTEXT(E17),E17="○"),INDEX(Data_5,12,VLOOKUP('積算'!D11,$M$36:$N$46,2)),""))</f>
      </c>
      <c r="G17" s="488"/>
      <c r="H17" s="470" t="s">
        <v>85</v>
      </c>
      <c r="I17" s="471"/>
      <c r="J17" s="298" t="s">
        <v>198</v>
      </c>
      <c r="K17" s="78">
        <f>IF(OR($M$8="",J17="",,'積算'!D11="",ISTEXT('積算'!O12)),"",IF(AND(ISTEXT(J17),J17="○"),INDEX(Data_6,12,VLOOKUP('積算'!D11,$M$36:$N$46,2)),""))</f>
      </c>
      <c r="M17" s="307">
        <f>IF('積算'!$D$11="","",INDEX(Data_5,12,VLOOKUP('積算'!$D$11,$M$36:$N$46,2)))</f>
      </c>
    </row>
    <row r="18" spans="2:13" ht="27.75" customHeight="1">
      <c r="B18" s="481"/>
      <c r="C18" s="472" t="s">
        <v>71</v>
      </c>
      <c r="D18" s="90" t="s">
        <v>45</v>
      </c>
      <c r="E18" s="298" t="s">
        <v>198</v>
      </c>
      <c r="F18" s="80">
        <f>IF(OR($M$7="",E18="",,'積算'!D11="",ISTEXT('積算'!O12)),"",IF(AND(ISTEXT(E18),E18="○"),INDEX(Data_5,13,VLOOKUP('積算'!D11,$M$36:$N$46,2)),""))</f>
      </c>
      <c r="G18" s="488"/>
      <c r="H18" s="474" t="s">
        <v>99</v>
      </c>
      <c r="I18" s="86" t="s">
        <v>199</v>
      </c>
      <c r="J18" s="298" t="s">
        <v>198</v>
      </c>
      <c r="K18" s="78">
        <f>IF(OR($M$8="",J18="",,'積算'!D11="",ISTEXT('積算'!O12)),"",IF(AND(ISTEXT(J18),J18="○"),INDEX(Data_6,13,VLOOKUP('積算'!D11,$M$36:$N$46,2)),""))</f>
      </c>
      <c r="M18" s="307">
        <f>IF('積算'!$D$11="","",INDEX(Data_5,13,VLOOKUP('積算'!$D$11,$M$36:$N$46,2)))</f>
      </c>
    </row>
    <row r="19" spans="2:13" ht="27.75" customHeight="1">
      <c r="B19" s="481"/>
      <c r="C19" s="473"/>
      <c r="D19" s="89" t="s">
        <v>91</v>
      </c>
      <c r="E19" s="299" t="s">
        <v>100</v>
      </c>
      <c r="F19" s="242">
        <f>IF(OR($M$7="",E19="",,'積算'!D11="",ISTEXT('積算'!O12)),"",IF(AND(ISTEXT(E19),E19="○"),INDEX(Data_5,14,VLOOKUP('積算'!D11,$M$36:$N$46,2)),""))</f>
      </c>
      <c r="G19" s="488"/>
      <c r="H19" s="492"/>
      <c r="I19" s="86" t="s">
        <v>84</v>
      </c>
      <c r="J19" s="298" t="s">
        <v>198</v>
      </c>
      <c r="K19" s="78">
        <f>IF(OR($M$8="",J19="",,'積算'!D11="",ISTEXT('積算'!O12)),"",IF(AND(ISTEXT(J19),J19="○"),INDEX(Data_6,14,VLOOKUP('積算'!D11,$M$36:$N$46,2)),""))</f>
      </c>
      <c r="M19" s="307">
        <f>IF('積算'!$D$11="","",INDEX(Data_5,14,VLOOKUP('積算'!$D$11,$M$36:$N$46,2)))</f>
      </c>
    </row>
    <row r="20" spans="2:13" ht="27.75" customHeight="1">
      <c r="B20" s="481"/>
      <c r="C20" s="472" t="s">
        <v>76</v>
      </c>
      <c r="D20" s="91" t="s">
        <v>46</v>
      </c>
      <c r="E20" s="301" t="s">
        <v>100</v>
      </c>
      <c r="F20" s="244">
        <f>IF(OR($M$7="",E20="",,'積算'!D11="",ISTEXT('積算'!O12)),"",IF(AND(ISTEXT(E20),E20="○"),INDEX(Data_5,15,VLOOKUP('積算'!D11,$M$36:$N$46,2)),""))</f>
      </c>
      <c r="G20" s="488"/>
      <c r="H20" s="475"/>
      <c r="I20" s="86" t="s">
        <v>97</v>
      </c>
      <c r="J20" s="298" t="s">
        <v>100</v>
      </c>
      <c r="K20" s="78">
        <f>IF(OR($M$8="",J20="",,'積算'!D11="",ISTEXT('積算'!O12)),"",IF(AND(ISTEXT(J20),J20="○"),INDEX(Data_6,15,VLOOKUP('積算'!D11,$M$36:$N$46,2)),""))</f>
      </c>
      <c r="M20" s="307">
        <f>IF('積算'!$D$11="","",INDEX(Data_5,15,VLOOKUP('積算'!$D$11,$M$36:$N$46,2)))</f>
      </c>
    </row>
    <row r="21" spans="2:13" ht="27.75" customHeight="1">
      <c r="B21" s="481"/>
      <c r="C21" s="473"/>
      <c r="D21" s="97" t="s">
        <v>92</v>
      </c>
      <c r="E21" s="302" t="s">
        <v>198</v>
      </c>
      <c r="F21" s="245">
        <f>IF(OR($M$7="",E21="",,'積算'!D11="",ISTEXT('積算'!O12)),"",IF(AND(ISTEXT(E21),E21="○"),INDEX(Data_5,16,VLOOKUP('積算'!D11,$M$36:$N$46,2)),""))</f>
      </c>
      <c r="G21" s="488"/>
      <c r="H21" s="470" t="s">
        <v>66</v>
      </c>
      <c r="I21" s="471"/>
      <c r="J21" s="298" t="s">
        <v>198</v>
      </c>
      <c r="K21" s="78">
        <f>IF(OR($M$8="",J21="",,'積算'!D11="",ISTEXT('積算'!O12)),"",IF(AND(ISTEXT(J21),J21="○"),INDEX(Data_6,16,VLOOKUP('積算'!D11,$M$36:$N$46,2)),""))</f>
      </c>
      <c r="M21" s="307">
        <f>IF('積算'!$D$11="","",INDEX(Data_5,16,VLOOKUP('積算'!$D$11,$M$36:$N$46,2)))</f>
      </c>
    </row>
    <row r="22" spans="2:13" ht="27.75" customHeight="1">
      <c r="B22" s="481"/>
      <c r="C22" s="473"/>
      <c r="D22" s="89" t="s">
        <v>93</v>
      </c>
      <c r="E22" s="299" t="s">
        <v>100</v>
      </c>
      <c r="F22" s="242">
        <f>IF(OR($M$7="",E22="",,'積算'!D11="",ISTEXT('積算'!O12)),"",IF(AND(ISTEXT(E22),E22="○"),INDEX(Data_5,17,VLOOKUP('積算'!D11,$M$36:$N$46,2)),""))</f>
      </c>
      <c r="G22" s="488"/>
      <c r="H22" s="470" t="s">
        <v>67</v>
      </c>
      <c r="I22" s="471"/>
      <c r="J22" s="298" t="s">
        <v>100</v>
      </c>
      <c r="K22" s="78">
        <f>IF(OR($M$8="",J22="",,'積算'!D11="",ISTEXT('積算'!O12)),"",IF(AND(ISTEXT(J22),J22="○"),INDEX(Data_6,17,VLOOKUP('積算'!D11,$M$36:$N$46,2)),""))</f>
      </c>
      <c r="M22" s="307">
        <f>IF('積算'!$D$11="","",INDEX(Data_5,17,VLOOKUP('積算'!$D$11,$M$36:$N$46,2)))</f>
      </c>
    </row>
    <row r="23" spans="2:13" ht="27.75" customHeight="1">
      <c r="B23" s="481"/>
      <c r="C23" s="472" t="s">
        <v>77</v>
      </c>
      <c r="D23" s="90" t="s">
        <v>51</v>
      </c>
      <c r="E23" s="298" t="s">
        <v>100</v>
      </c>
      <c r="F23" s="80">
        <f>IF(OR($M$7="",E23="",,'積算'!D11="",ISTEXT('積算'!O12)),"",IF(AND(ISTEXT(E23),E23="○"),INDEX(Data_5,18,VLOOKUP('積算'!D11,$M$36:$N$46,2)),""))</f>
      </c>
      <c r="G23" s="488"/>
      <c r="H23" s="474" t="s">
        <v>83</v>
      </c>
      <c r="I23" s="86" t="s">
        <v>98</v>
      </c>
      <c r="J23" s="298" t="s">
        <v>100</v>
      </c>
      <c r="K23" s="78">
        <f>IF(OR($M$8="",J23="",,'積算'!D11="",ISTEXT('積算'!O12)),"",IF(AND(ISTEXT(J23),J23="○"),INDEX(Data_6,18,VLOOKUP('積算'!D11,$M$36:$N$46,2)),""))</f>
      </c>
      <c r="M23" s="307">
        <f>IF('積算'!$D$11="","",INDEX(Data_5,18,VLOOKUP('積算'!$D$11,$M$36:$N$46,2)))</f>
      </c>
    </row>
    <row r="24" spans="2:13" ht="27.75" customHeight="1">
      <c r="B24" s="481"/>
      <c r="C24" s="473"/>
      <c r="D24" s="88" t="s">
        <v>52</v>
      </c>
      <c r="E24" s="299" t="s">
        <v>100</v>
      </c>
      <c r="F24" s="242">
        <f>IF(OR($M$7="",E24="",,'積算'!D11="",ISTEXT('積算'!O12)),"",IF(AND(ISTEXT(E24),E24="○"),INDEX(Data_5,19,VLOOKUP('積算'!D11,$M$36:$N$46,2)),""))</f>
      </c>
      <c r="G24" s="489"/>
      <c r="H24" s="475"/>
      <c r="I24" s="86" t="s">
        <v>68</v>
      </c>
      <c r="J24" s="298" t="s">
        <v>198</v>
      </c>
      <c r="K24" s="78">
        <f>IF(OR($M$8="",J24="",,'積算'!D11="",ISTEXT('積算'!O12)),"",IF(AND(ISTEXT(J24),J24="○"),INDEX(Data_6,19,VLOOKUP('積算'!D11,$M$36:$N$46,2)),""))</f>
      </c>
      <c r="M24" s="307">
        <f>IF('積算'!$D$11="","",INDEX(Data_5,19,VLOOKUP('積算'!$D$11,$M$36:$N$46,2)))</f>
      </c>
    </row>
    <row r="25" spans="2:13" ht="27.75" customHeight="1">
      <c r="B25" s="481"/>
      <c r="C25" s="92" t="s">
        <v>53</v>
      </c>
      <c r="D25" s="92"/>
      <c r="E25" s="300" t="s">
        <v>100</v>
      </c>
      <c r="F25" s="243">
        <f>IF(OR($M$7="",E25="",,'積算'!D11="",ISTEXT('積算'!O12)),"",IF(AND(ISTEXT(E25),E25="○"),INDEX(Data_5,20,VLOOKUP('積算'!D11,$M$36:$N$46,2)),""))</f>
      </c>
      <c r="G25" s="115"/>
      <c r="H25" s="116"/>
      <c r="I25" s="116"/>
      <c r="J25" s="118" t="s">
        <v>110</v>
      </c>
      <c r="K25" s="78">
        <f>IF(COUNT(K6:K24)=0,"",SUM(K6:K24))</f>
      </c>
      <c r="M25" s="307">
        <f>IF('積算'!$D$11="","",INDEX(Data_5,20,VLOOKUP('積算'!$D$11,$M$36:$N$46,2)))</f>
      </c>
    </row>
    <row r="26" spans="2:13" ht="27.75" customHeight="1">
      <c r="B26" s="481"/>
      <c r="C26" s="93" t="s">
        <v>54</v>
      </c>
      <c r="D26" s="92"/>
      <c r="E26" s="300" t="s">
        <v>100</v>
      </c>
      <c r="F26" s="243">
        <f>IF(OR($M$7="",E26="",,'積算'!D11="",ISTEXT('積算'!O12)),"",IF(AND(ISTEXT(E26),E26="○"),INDEX(Data_5,21,VLOOKUP('積算'!D11,$M$36:$N$46,2)),""))</f>
      </c>
      <c r="G26" s="476" t="s">
        <v>233</v>
      </c>
      <c r="H26" s="477"/>
      <c r="I26" s="289" t="s">
        <v>234</v>
      </c>
      <c r="J26" s="290"/>
      <c r="K26" s="291">
        <f>IF(OR($M$8="",,'積算'!D11="",ISTEXT('積算'!O12)),"",INDEX(Data_6,20,VLOOKUP('積算'!$D$11,M36:$N$46,2)))</f>
      </c>
      <c r="M26" s="307">
        <f>IF('積算'!$D$11="","",INDEX(Data_5,21,VLOOKUP('積算'!$D$11,$M$36:$N$46,2)))</f>
      </c>
    </row>
    <row r="27" spans="2:13" ht="27.75" customHeight="1">
      <c r="B27" s="480" t="s">
        <v>74</v>
      </c>
      <c r="C27" s="482" t="s">
        <v>94</v>
      </c>
      <c r="D27" s="483"/>
      <c r="E27" s="300" t="s">
        <v>198</v>
      </c>
      <c r="F27" s="243">
        <f>IF(OR($M$7="",E27="",,'積算'!D11="",ISTEXT('積算'!O12)),"",IF(AND(ISTEXT(E27),E27="○"),INDEX(Data_5,22,VLOOKUP('積算'!D11,$M$36:$N$46,2)),""))</f>
      </c>
      <c r="G27" s="478"/>
      <c r="H27" s="479"/>
      <c r="I27" s="292" t="s">
        <v>235</v>
      </c>
      <c r="J27" s="290"/>
      <c r="K27" s="291">
        <f>IF(OR($M$8="",,'積算'!D11="",ISTEXT('積算'!O12)),"",INDEX(Data_6,21,VLOOKUP('積算'!$D$11,M36:$N$46,2)))</f>
      </c>
      <c r="M27" s="307">
        <f>IF('積算'!$D$11="","",INDEX(Data_5,22,VLOOKUP('積算'!$D$11,$M$36:$N$46,2)))</f>
      </c>
    </row>
    <row r="28" spans="2:13" ht="27.75" customHeight="1">
      <c r="B28" s="481"/>
      <c r="C28" s="484" t="s">
        <v>95</v>
      </c>
      <c r="D28" s="485"/>
      <c r="E28" s="300" t="s">
        <v>100</v>
      </c>
      <c r="F28" s="243">
        <f>IF(OR($M$7="",E28="",,'積算'!D11="",ISTEXT('積算'!O12)),"",IF(AND(ISTEXT(E28),E28="○"),INDEX(Data_5,23,VLOOKUP('積算'!D11,$M$36:$N$46,2)),""))</f>
      </c>
      <c r="G28" s="77"/>
      <c r="H28" s="75"/>
      <c r="I28" s="75"/>
      <c r="J28" s="75"/>
      <c r="K28" s="76"/>
      <c r="M28" s="307">
        <f>IF('積算'!$D$11="","",INDEX(Data_5,23,VLOOKUP('積算'!$D$11,$M$36:$N$46,2)))</f>
      </c>
    </row>
    <row r="29" spans="2:13" ht="27.75" customHeight="1">
      <c r="B29" s="105"/>
      <c r="C29" s="123"/>
      <c r="D29" s="124"/>
      <c r="E29" s="125"/>
      <c r="F29" s="126"/>
      <c r="G29" s="465" t="s">
        <v>130</v>
      </c>
      <c r="H29" s="468" t="s">
        <v>126</v>
      </c>
      <c r="I29" s="469"/>
      <c r="J29" s="116"/>
      <c r="K29" s="117"/>
      <c r="M29" s="308"/>
    </row>
    <row r="30" spans="2:13" ht="27.75" customHeight="1">
      <c r="B30" s="105"/>
      <c r="C30" s="123"/>
      <c r="D30" s="124"/>
      <c r="E30" s="125"/>
      <c r="F30" s="126"/>
      <c r="G30" s="466"/>
      <c r="H30" s="468" t="s">
        <v>127</v>
      </c>
      <c r="I30" s="469"/>
      <c r="J30" s="116"/>
      <c r="K30" s="117"/>
      <c r="M30" s="308"/>
    </row>
    <row r="31" spans="2:13" ht="27.75" customHeight="1">
      <c r="B31" s="105"/>
      <c r="C31" s="106"/>
      <c r="D31" s="107"/>
      <c r="E31" s="108" t="s">
        <v>108</v>
      </c>
      <c r="F31" s="80">
        <f>IF(COUNT(F6:F15)=0,"",SUM(F6:F15))</f>
      </c>
      <c r="G31" s="466"/>
      <c r="H31" s="280" t="s">
        <v>128</v>
      </c>
      <c r="I31" s="293"/>
      <c r="J31" s="116"/>
      <c r="K31" s="117"/>
      <c r="M31" s="308"/>
    </row>
    <row r="32" spans="2:13" ht="27.75" customHeight="1">
      <c r="B32" s="105"/>
      <c r="C32" s="106"/>
      <c r="D32" s="107"/>
      <c r="E32" s="108" t="s">
        <v>109</v>
      </c>
      <c r="F32" s="80">
        <f>IF(COUNT(F16:F28)=0,"",SUM(F16:F28))</f>
      </c>
      <c r="G32" s="467"/>
      <c r="H32" s="280" t="s">
        <v>129</v>
      </c>
      <c r="I32" s="293"/>
      <c r="J32" s="116"/>
      <c r="K32" s="117"/>
      <c r="M32" s="307">
        <f>SUM(M16:M28)</f>
        <v>0</v>
      </c>
    </row>
    <row r="33" spans="2:11" ht="27.75" customHeight="1" thickBot="1">
      <c r="B33" s="81"/>
      <c r="C33" s="82"/>
      <c r="D33" s="82"/>
      <c r="E33" s="109" t="s">
        <v>110</v>
      </c>
      <c r="F33" s="79">
        <f>IF(COUNT(F6:F28)=0,"",SUM(F6:F28))</f>
      </c>
      <c r="G33" s="119"/>
      <c r="H33" s="120"/>
      <c r="I33" s="120"/>
      <c r="J33" s="121"/>
      <c r="K33" s="122"/>
    </row>
    <row r="34" spans="2:11" ht="15.75" customHeight="1">
      <c r="B34" s="11"/>
      <c r="C34" s="11"/>
      <c r="D34" s="11"/>
      <c r="E34" s="11"/>
      <c r="F34" s="11"/>
      <c r="G34" s="11"/>
      <c r="H34" s="11"/>
      <c r="I34" s="11"/>
      <c r="J34" s="11"/>
      <c r="K34" s="11"/>
    </row>
    <row r="36" spans="13:14" ht="15.75" customHeight="1">
      <c r="M36" s="44">
        <v>1</v>
      </c>
      <c r="N36" s="45">
        <v>1</v>
      </c>
    </row>
    <row r="37" spans="13:14" ht="15.75" customHeight="1">
      <c r="M37" s="46">
        <v>750</v>
      </c>
      <c r="N37" s="47">
        <v>2</v>
      </c>
    </row>
    <row r="38" spans="13:14" ht="15.75" customHeight="1">
      <c r="M38" s="46">
        <v>1000</v>
      </c>
      <c r="N38" s="47">
        <v>3</v>
      </c>
    </row>
    <row r="39" spans="13:14" ht="15.75" customHeight="1">
      <c r="M39" s="46">
        <v>1500</v>
      </c>
      <c r="N39" s="47">
        <v>4</v>
      </c>
    </row>
    <row r="40" spans="13:14" ht="15.75" customHeight="1">
      <c r="M40" s="46">
        <v>2000</v>
      </c>
      <c r="N40" s="47">
        <v>5</v>
      </c>
    </row>
    <row r="41" spans="13:14" ht="15.75" customHeight="1">
      <c r="M41" s="46">
        <v>3000</v>
      </c>
      <c r="N41" s="47">
        <v>6</v>
      </c>
    </row>
    <row r="42" spans="13:14" ht="15.75" customHeight="1">
      <c r="M42" s="46">
        <v>5000</v>
      </c>
      <c r="N42" s="47">
        <v>7</v>
      </c>
    </row>
    <row r="43" spans="13:14" ht="15.75" customHeight="1">
      <c r="M43" s="46">
        <v>7500</v>
      </c>
      <c r="N43" s="47">
        <v>8</v>
      </c>
    </row>
    <row r="44" spans="13:14" ht="15.75" customHeight="1">
      <c r="M44" s="46">
        <v>10000</v>
      </c>
      <c r="N44" s="47">
        <v>9</v>
      </c>
    </row>
    <row r="45" spans="13:14" ht="15.75" customHeight="1">
      <c r="M45" s="46">
        <v>15000</v>
      </c>
      <c r="N45" s="47">
        <v>10</v>
      </c>
    </row>
    <row r="46" spans="13:14" ht="15.75" customHeight="1">
      <c r="M46" s="48">
        <v>20000</v>
      </c>
      <c r="N46" s="49">
        <v>11</v>
      </c>
    </row>
  </sheetData>
  <sheetProtection sheet="1"/>
  <mergeCells count="38">
    <mergeCell ref="G3:K3"/>
    <mergeCell ref="C5:D5"/>
    <mergeCell ref="H5:I5"/>
    <mergeCell ref="B6:B15"/>
    <mergeCell ref="C6:C7"/>
    <mergeCell ref="G6:G14"/>
    <mergeCell ref="H6:H7"/>
    <mergeCell ref="C8:C9"/>
    <mergeCell ref="H8:H9"/>
    <mergeCell ref="C10:D10"/>
    <mergeCell ref="C18:C19"/>
    <mergeCell ref="H18:H20"/>
    <mergeCell ref="C20:C22"/>
    <mergeCell ref="H10:H11"/>
    <mergeCell ref="C11:C12"/>
    <mergeCell ref="H12:I12"/>
    <mergeCell ref="C13:D13"/>
    <mergeCell ref="H13:I13"/>
    <mergeCell ref="C14:D14"/>
    <mergeCell ref="H14:I14"/>
    <mergeCell ref="B27:B28"/>
    <mergeCell ref="C27:D27"/>
    <mergeCell ref="C28:D28"/>
    <mergeCell ref="C15:D15"/>
    <mergeCell ref="G15:G24"/>
    <mergeCell ref="H15:I15"/>
    <mergeCell ref="B16:B26"/>
    <mergeCell ref="C16:C17"/>
    <mergeCell ref="H16:I16"/>
    <mergeCell ref="H17:I17"/>
    <mergeCell ref="G29:G32"/>
    <mergeCell ref="H29:I29"/>
    <mergeCell ref="H30:I30"/>
    <mergeCell ref="H21:I21"/>
    <mergeCell ref="H22:I22"/>
    <mergeCell ref="C23:C24"/>
    <mergeCell ref="H23:H24"/>
    <mergeCell ref="G26:H27"/>
  </mergeCells>
  <printOptions/>
  <pageMargins left="0.7086614173228347" right="0" top="0.984251968503937" bottom="0" header="0" footer="0"/>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codeName="Sheet2"/>
  <dimension ref="A3:CA78"/>
  <sheetViews>
    <sheetView zoomScalePageLayoutView="0" workbookViewId="0" topLeftCell="A1">
      <selection activeCell="A1" sqref="A1"/>
    </sheetView>
  </sheetViews>
  <sheetFormatPr defaultColWidth="9.140625" defaultRowHeight="13.5" customHeight="1"/>
  <cols>
    <col min="1" max="1" width="2.57421875" style="1" customWidth="1"/>
    <col min="2" max="3" width="9.00390625" style="1" customWidth="1"/>
    <col min="4" max="10" width="6.57421875" style="1" customWidth="1"/>
    <col min="11" max="11" width="9.00390625" style="1" customWidth="1"/>
    <col min="12" max="12" width="9.00390625" style="2" customWidth="1"/>
    <col min="13" max="13" width="14.57421875" style="2" customWidth="1"/>
    <col min="14" max="14" width="9.00390625" style="2" customWidth="1"/>
    <col min="15" max="15" width="5.57421875" style="2" customWidth="1"/>
    <col min="16" max="21" width="10.57421875" style="1" customWidth="1"/>
    <col min="22" max="22" width="2.57421875" style="1" customWidth="1"/>
    <col min="23" max="23" width="9.00390625" style="1" customWidth="1"/>
    <col min="24" max="24" width="14.57421875" style="1" customWidth="1"/>
    <col min="25" max="25" width="9.00390625" style="1" customWidth="1"/>
    <col min="26" max="26" width="5.57421875" style="1" customWidth="1"/>
    <col min="27" max="32" width="10.57421875" style="1" customWidth="1"/>
    <col min="33" max="33" width="2.57421875" style="1" customWidth="1"/>
    <col min="34" max="34" width="4.57421875" style="1" customWidth="1"/>
    <col min="35" max="45" width="6.57421875" style="1" customWidth="1"/>
    <col min="46" max="46" width="2.57421875" style="1" customWidth="1"/>
    <col min="47" max="47" width="4.57421875" style="1" customWidth="1"/>
    <col min="48" max="58" width="6.57421875" style="1" customWidth="1"/>
    <col min="59" max="59" width="2.57421875" style="1" customWidth="1"/>
    <col min="60" max="60" width="9.00390625" style="1" customWidth="1"/>
    <col min="61" max="61" width="4.57421875" style="1" customWidth="1"/>
    <col min="62" max="65" width="6.57421875" style="1" customWidth="1"/>
    <col min="66" max="66" width="2.57421875" style="1" customWidth="1"/>
    <col min="67" max="67" width="9.00390625" style="1" customWidth="1"/>
    <col min="68" max="68" width="4.57421875" style="1" customWidth="1"/>
    <col min="69" max="72" width="6.57421875" style="1" customWidth="1"/>
    <col min="73" max="73" width="2.57421875" style="1" customWidth="1"/>
    <col min="74" max="74" width="9.00390625" style="1" customWidth="1"/>
    <col min="75" max="75" width="4.57421875" style="1" customWidth="1"/>
    <col min="76" max="79" width="6.57421875" style="1" customWidth="1"/>
    <col min="80" max="16384" width="9.00390625" style="1" customWidth="1"/>
  </cols>
  <sheetData>
    <row r="3" spans="15:47" ht="13.5" customHeight="1">
      <c r="O3" s="505" t="s">
        <v>27</v>
      </c>
      <c r="P3" s="506"/>
      <c r="Q3" s="506"/>
      <c r="R3" s="506"/>
      <c r="S3" s="506"/>
      <c r="T3" s="506"/>
      <c r="U3" s="506"/>
      <c r="Z3" s="507" t="s">
        <v>29</v>
      </c>
      <c r="AA3" s="506"/>
      <c r="AB3" s="506"/>
      <c r="AC3" s="506"/>
      <c r="AD3" s="506"/>
      <c r="AE3" s="506"/>
      <c r="AF3" s="506"/>
      <c r="AH3" s="3" t="s">
        <v>55</v>
      </c>
      <c r="AU3" s="3" t="s">
        <v>56</v>
      </c>
    </row>
    <row r="4" spans="2:79" s="2" customFormat="1" ht="13.5" customHeight="1">
      <c r="B4" s="17">
        <v>0</v>
      </c>
      <c r="C4" s="18">
        <v>1</v>
      </c>
      <c r="D4" s="1"/>
      <c r="E4" s="1"/>
      <c r="F4" s="1"/>
      <c r="G4" s="1"/>
      <c r="H4" s="1"/>
      <c r="I4" s="1"/>
      <c r="P4" s="505" t="s">
        <v>14</v>
      </c>
      <c r="Q4" s="505"/>
      <c r="R4" s="505"/>
      <c r="S4" s="505" t="s">
        <v>15</v>
      </c>
      <c r="T4" s="505"/>
      <c r="U4" s="505"/>
      <c r="AA4" s="505" t="s">
        <v>14</v>
      </c>
      <c r="AB4" s="505"/>
      <c r="AC4" s="505"/>
      <c r="AD4" s="505" t="s">
        <v>15</v>
      </c>
      <c r="AE4" s="505"/>
      <c r="AF4" s="505"/>
      <c r="AI4" s="2">
        <v>500</v>
      </c>
      <c r="AJ4" s="2">
        <v>750</v>
      </c>
      <c r="AK4" s="2">
        <v>1000</v>
      </c>
      <c r="AL4" s="2">
        <v>1500</v>
      </c>
      <c r="AM4" s="2">
        <v>2000</v>
      </c>
      <c r="AN4" s="2">
        <v>3000</v>
      </c>
      <c r="AO4" s="2">
        <v>5000</v>
      </c>
      <c r="AP4" s="2">
        <v>7500</v>
      </c>
      <c r="AQ4" s="2">
        <v>10000</v>
      </c>
      <c r="AR4" s="2">
        <v>15000</v>
      </c>
      <c r="AS4" s="2">
        <v>20000</v>
      </c>
      <c r="AV4" s="2">
        <v>500</v>
      </c>
      <c r="AW4" s="2">
        <v>750</v>
      </c>
      <c r="AX4" s="2">
        <v>1000</v>
      </c>
      <c r="AY4" s="2">
        <v>1500</v>
      </c>
      <c r="AZ4" s="2">
        <v>2000</v>
      </c>
      <c r="BA4" s="2">
        <v>3000</v>
      </c>
      <c r="BB4" s="2">
        <v>5000</v>
      </c>
      <c r="BC4" s="2">
        <v>7500</v>
      </c>
      <c r="BD4" s="2">
        <v>10000</v>
      </c>
      <c r="BE4" s="2">
        <v>15000</v>
      </c>
      <c r="BF4" s="2">
        <v>20000</v>
      </c>
      <c r="BJ4" s="2">
        <v>100</v>
      </c>
      <c r="BK4" s="2">
        <v>150</v>
      </c>
      <c r="BL4" s="2">
        <v>200</v>
      </c>
      <c r="BM4" s="2">
        <v>300</v>
      </c>
      <c r="BQ4" s="2">
        <v>100</v>
      </c>
      <c r="BR4" s="2">
        <v>150</v>
      </c>
      <c r="BS4" s="2">
        <v>200</v>
      </c>
      <c r="BT4" s="2">
        <v>300</v>
      </c>
      <c r="BX4" s="2">
        <v>100</v>
      </c>
      <c r="BY4" s="2">
        <v>150</v>
      </c>
      <c r="BZ4" s="2">
        <v>200</v>
      </c>
      <c r="CA4" s="2">
        <v>300</v>
      </c>
    </row>
    <row r="5" spans="2:79" s="2" customFormat="1" ht="13.5" customHeight="1">
      <c r="B5" s="19">
        <v>299.9</v>
      </c>
      <c r="C5" s="20">
        <v>2</v>
      </c>
      <c r="D5" s="1"/>
      <c r="E5" s="1"/>
      <c r="F5" s="1"/>
      <c r="G5" s="1"/>
      <c r="H5" s="1"/>
      <c r="I5" s="1"/>
      <c r="P5" s="2" t="s">
        <v>16</v>
      </c>
      <c r="Q5" s="2" t="s">
        <v>17</v>
      </c>
      <c r="R5" s="2" t="s">
        <v>18</v>
      </c>
      <c r="S5" s="2" t="s">
        <v>16</v>
      </c>
      <c r="T5" s="2" t="s">
        <v>17</v>
      </c>
      <c r="U5" s="2" t="s">
        <v>18</v>
      </c>
      <c r="AA5" s="2" t="s">
        <v>16</v>
      </c>
      <c r="AB5" s="2" t="s">
        <v>17</v>
      </c>
      <c r="AC5" s="2" t="s">
        <v>18</v>
      </c>
      <c r="AD5" s="2" t="s">
        <v>16</v>
      </c>
      <c r="AE5" s="2" t="s">
        <v>17</v>
      </c>
      <c r="AF5" s="2" t="s">
        <v>18</v>
      </c>
      <c r="AI5" s="2">
        <v>1</v>
      </c>
      <c r="AJ5" s="2">
        <v>2</v>
      </c>
      <c r="AK5" s="2">
        <v>3</v>
      </c>
      <c r="AL5" s="2">
        <v>4</v>
      </c>
      <c r="AM5" s="2">
        <v>5</v>
      </c>
      <c r="AN5" s="2">
        <v>6</v>
      </c>
      <c r="AO5" s="2">
        <v>7</v>
      </c>
      <c r="AP5" s="2">
        <v>8</v>
      </c>
      <c r="AQ5" s="2">
        <v>9</v>
      </c>
      <c r="AR5" s="2">
        <v>10</v>
      </c>
      <c r="AS5" s="2">
        <v>11</v>
      </c>
      <c r="AV5" s="2">
        <v>1</v>
      </c>
      <c r="AW5" s="2">
        <v>2</v>
      </c>
      <c r="AX5" s="2">
        <v>3</v>
      </c>
      <c r="AY5" s="2">
        <v>4</v>
      </c>
      <c r="AZ5" s="2">
        <v>5</v>
      </c>
      <c r="BA5" s="2">
        <v>6</v>
      </c>
      <c r="BB5" s="2">
        <v>7</v>
      </c>
      <c r="BC5" s="2">
        <v>8</v>
      </c>
      <c r="BD5" s="2">
        <v>9</v>
      </c>
      <c r="BE5" s="2">
        <v>10</v>
      </c>
      <c r="BF5" s="2">
        <v>11</v>
      </c>
      <c r="BJ5" s="2">
        <v>1</v>
      </c>
      <c r="BK5" s="2">
        <v>2</v>
      </c>
      <c r="BL5" s="2">
        <v>3</v>
      </c>
      <c r="BM5" s="2">
        <v>4</v>
      </c>
      <c r="BQ5" s="2">
        <v>1</v>
      </c>
      <c r="BR5" s="2">
        <v>2</v>
      </c>
      <c r="BS5" s="2">
        <v>3</v>
      </c>
      <c r="BT5" s="2">
        <v>4</v>
      </c>
      <c r="BX5" s="2">
        <v>1</v>
      </c>
      <c r="BY5" s="2">
        <v>2</v>
      </c>
      <c r="BZ5" s="2">
        <v>3</v>
      </c>
      <c r="CA5" s="2">
        <v>4</v>
      </c>
    </row>
    <row r="6" spans="2:79" s="2" customFormat="1" ht="13.5" customHeight="1">
      <c r="B6" s="19">
        <v>499.9</v>
      </c>
      <c r="C6" s="20">
        <v>3</v>
      </c>
      <c r="D6" s="1"/>
      <c r="E6" s="1"/>
      <c r="F6" s="1"/>
      <c r="G6" s="1"/>
      <c r="H6" s="1"/>
      <c r="I6" s="1"/>
      <c r="J6" s="1"/>
      <c r="P6" s="2">
        <v>1</v>
      </c>
      <c r="Q6" s="2">
        <v>2</v>
      </c>
      <c r="R6" s="2">
        <v>3</v>
      </c>
      <c r="S6" s="2">
        <v>4</v>
      </c>
      <c r="T6" s="2">
        <v>5</v>
      </c>
      <c r="U6" s="2">
        <v>6</v>
      </c>
      <c r="AA6" s="2">
        <v>1</v>
      </c>
      <c r="AB6" s="2">
        <v>2</v>
      </c>
      <c r="AC6" s="2">
        <v>3</v>
      </c>
      <c r="AD6" s="2">
        <v>4</v>
      </c>
      <c r="AE6" s="2">
        <v>5</v>
      </c>
      <c r="AF6" s="2">
        <v>6</v>
      </c>
      <c r="AH6" s="2">
        <v>1</v>
      </c>
      <c r="AI6" s="66">
        <v>0.03</v>
      </c>
      <c r="AJ6" s="67">
        <v>0.03</v>
      </c>
      <c r="AK6" s="67">
        <v>0.03</v>
      </c>
      <c r="AL6" s="67">
        <v>0.03</v>
      </c>
      <c r="AM6" s="67">
        <v>0.03</v>
      </c>
      <c r="AN6" s="67">
        <v>0.04</v>
      </c>
      <c r="AO6" s="67">
        <v>0.04</v>
      </c>
      <c r="AP6" s="67">
        <v>0.04</v>
      </c>
      <c r="AQ6" s="67">
        <v>0.04</v>
      </c>
      <c r="AR6" s="67">
        <v>0.04</v>
      </c>
      <c r="AS6" s="68">
        <v>0.04</v>
      </c>
      <c r="AU6" s="2">
        <v>1</v>
      </c>
      <c r="AV6" s="66">
        <v>0.04</v>
      </c>
      <c r="AW6" s="67">
        <v>0.04</v>
      </c>
      <c r="AX6" s="67">
        <v>0.04</v>
      </c>
      <c r="AY6" s="67">
        <v>0.03</v>
      </c>
      <c r="AZ6" s="67">
        <v>0.03</v>
      </c>
      <c r="BA6" s="67">
        <v>0.03</v>
      </c>
      <c r="BB6" s="67">
        <v>0.03</v>
      </c>
      <c r="BC6" s="67">
        <v>0.03</v>
      </c>
      <c r="BD6" s="67">
        <v>0.02</v>
      </c>
      <c r="BE6" s="67">
        <v>0.02</v>
      </c>
      <c r="BF6" s="68">
        <v>0.02</v>
      </c>
      <c r="BH6" s="1" t="s">
        <v>163</v>
      </c>
      <c r="BI6" s="1">
        <v>1</v>
      </c>
      <c r="BJ6" s="158">
        <v>710</v>
      </c>
      <c r="BK6" s="159">
        <v>760</v>
      </c>
      <c r="BL6" s="159">
        <v>800</v>
      </c>
      <c r="BM6" s="18">
        <v>860</v>
      </c>
      <c r="BO6" s="1" t="s">
        <v>163</v>
      </c>
      <c r="BP6" s="1">
        <v>1</v>
      </c>
      <c r="BQ6" s="158">
        <v>350</v>
      </c>
      <c r="BR6" s="159">
        <v>490</v>
      </c>
      <c r="BS6" s="159">
        <v>610</v>
      </c>
      <c r="BT6" s="18">
        <v>850</v>
      </c>
      <c r="BU6" s="1"/>
      <c r="BV6" s="1" t="s">
        <v>14</v>
      </c>
      <c r="BW6" s="1">
        <v>1</v>
      </c>
      <c r="BX6" s="158">
        <v>270</v>
      </c>
      <c r="BY6" s="159">
        <v>360</v>
      </c>
      <c r="BZ6" s="159">
        <v>430</v>
      </c>
      <c r="CA6" s="18">
        <v>570</v>
      </c>
    </row>
    <row r="7" spans="2:79" ht="13.5" customHeight="1">
      <c r="B7" s="19">
        <v>999.9</v>
      </c>
      <c r="C7" s="20">
        <v>4</v>
      </c>
      <c r="L7" s="2" t="s">
        <v>0</v>
      </c>
      <c r="M7" s="2" t="s">
        <v>30</v>
      </c>
      <c r="N7" s="2" t="s">
        <v>1</v>
      </c>
      <c r="O7" s="2">
        <v>1</v>
      </c>
      <c r="P7" s="35">
        <v>0.85946</v>
      </c>
      <c r="Q7" s="36">
        <v>0.4265</v>
      </c>
      <c r="R7" s="36">
        <v>0.38765</v>
      </c>
      <c r="S7" s="36">
        <v>0.44425</v>
      </c>
      <c r="T7" s="36">
        <v>0.15302</v>
      </c>
      <c r="U7" s="37">
        <v>0.14488</v>
      </c>
      <c r="W7" s="2" t="s">
        <v>0</v>
      </c>
      <c r="X7" s="4" t="s">
        <v>22</v>
      </c>
      <c r="Y7" s="2" t="s">
        <v>1</v>
      </c>
      <c r="Z7" s="2">
        <v>1</v>
      </c>
      <c r="AA7" s="35">
        <v>1.142</v>
      </c>
      <c r="AB7" s="36">
        <v>0.32444</v>
      </c>
      <c r="AC7" s="36">
        <v>0.27028</v>
      </c>
      <c r="AD7" s="36">
        <v>0.73318</v>
      </c>
      <c r="AE7" s="36">
        <v>0.10197</v>
      </c>
      <c r="AF7" s="37">
        <v>0.087533</v>
      </c>
      <c r="AH7" s="2">
        <v>2</v>
      </c>
      <c r="AI7" s="69">
        <v>0.02</v>
      </c>
      <c r="AJ7" s="70">
        <v>0.02</v>
      </c>
      <c r="AK7" s="70">
        <v>0.02</v>
      </c>
      <c r="AL7" s="70">
        <v>0.02</v>
      </c>
      <c r="AM7" s="70">
        <v>0.02</v>
      </c>
      <c r="AN7" s="70">
        <v>0.02</v>
      </c>
      <c r="AO7" s="70">
        <v>0.02</v>
      </c>
      <c r="AP7" s="70">
        <v>0.02</v>
      </c>
      <c r="AQ7" s="70">
        <v>0.02</v>
      </c>
      <c r="AR7" s="70">
        <v>0.02</v>
      </c>
      <c r="AS7" s="71">
        <v>0.02</v>
      </c>
      <c r="AU7" s="2">
        <v>2</v>
      </c>
      <c r="AV7" s="69">
        <v>0.04</v>
      </c>
      <c r="AW7" s="70">
        <v>0.04</v>
      </c>
      <c r="AX7" s="70">
        <v>0.03</v>
      </c>
      <c r="AY7" s="70">
        <v>0.03</v>
      </c>
      <c r="AZ7" s="70">
        <v>0.03</v>
      </c>
      <c r="BA7" s="70">
        <v>0.03</v>
      </c>
      <c r="BB7" s="70">
        <v>0.03</v>
      </c>
      <c r="BC7" s="70">
        <v>0.03</v>
      </c>
      <c r="BD7" s="70">
        <v>0.02</v>
      </c>
      <c r="BE7" s="70">
        <v>0.02</v>
      </c>
      <c r="BF7" s="71">
        <v>0.02</v>
      </c>
      <c r="BH7" s="1" t="s">
        <v>164</v>
      </c>
      <c r="BI7" s="1">
        <v>2</v>
      </c>
      <c r="BJ7" s="160">
        <v>140</v>
      </c>
      <c r="BK7" s="161">
        <v>180</v>
      </c>
      <c r="BL7" s="161">
        <v>220</v>
      </c>
      <c r="BM7" s="20">
        <v>290</v>
      </c>
      <c r="BO7" s="1" t="s">
        <v>164</v>
      </c>
      <c r="BP7" s="1">
        <v>2</v>
      </c>
      <c r="BQ7" s="160">
        <v>81</v>
      </c>
      <c r="BR7" s="161">
        <v>97</v>
      </c>
      <c r="BS7" s="161">
        <v>110</v>
      </c>
      <c r="BT7" s="20">
        <v>130</v>
      </c>
      <c r="BV7" s="1" t="s">
        <v>38</v>
      </c>
      <c r="BW7" s="1">
        <v>2</v>
      </c>
      <c r="BX7" s="162">
        <v>120</v>
      </c>
      <c r="BY7" s="163">
        <v>170</v>
      </c>
      <c r="BZ7" s="163">
        <v>210</v>
      </c>
      <c r="CA7" s="22">
        <v>290</v>
      </c>
    </row>
    <row r="8" spans="2:72" ht="13.5" customHeight="1">
      <c r="B8" s="19">
        <v>10000.1</v>
      </c>
      <c r="C8" s="20">
        <v>5</v>
      </c>
      <c r="N8" s="4" t="s">
        <v>2</v>
      </c>
      <c r="O8" s="2">
        <v>2</v>
      </c>
      <c r="P8" s="38">
        <v>24</v>
      </c>
      <c r="Q8" s="39">
        <v>24</v>
      </c>
      <c r="R8" s="39">
        <v>24</v>
      </c>
      <c r="S8" s="39">
        <v>24</v>
      </c>
      <c r="T8" s="39">
        <v>24</v>
      </c>
      <c r="U8" s="40">
        <v>24</v>
      </c>
      <c r="W8" s="2"/>
      <c r="X8" s="2"/>
      <c r="Y8" s="4" t="s">
        <v>2</v>
      </c>
      <c r="Z8" s="2">
        <v>2</v>
      </c>
      <c r="AA8" s="38">
        <v>24</v>
      </c>
      <c r="AB8" s="39">
        <v>24</v>
      </c>
      <c r="AC8" s="39">
        <v>24</v>
      </c>
      <c r="AD8" s="39">
        <v>24</v>
      </c>
      <c r="AE8" s="39">
        <v>24</v>
      </c>
      <c r="AF8" s="40">
        <v>24</v>
      </c>
      <c r="AH8" s="2">
        <v>3</v>
      </c>
      <c r="AI8" s="69">
        <v>0.02</v>
      </c>
      <c r="AJ8" s="70">
        <v>0.02</v>
      </c>
      <c r="AK8" s="70">
        <v>0.02</v>
      </c>
      <c r="AL8" s="70">
        <v>0.02</v>
      </c>
      <c r="AM8" s="70">
        <v>0.02</v>
      </c>
      <c r="AN8" s="70">
        <v>0.02</v>
      </c>
      <c r="AO8" s="70">
        <v>0.02</v>
      </c>
      <c r="AP8" s="70">
        <v>0.02</v>
      </c>
      <c r="AQ8" s="70">
        <v>0.02</v>
      </c>
      <c r="AR8" s="70">
        <v>0.01</v>
      </c>
      <c r="AS8" s="71">
        <v>0.01</v>
      </c>
      <c r="AU8" s="2">
        <v>3</v>
      </c>
      <c r="AV8" s="69">
        <v>0.03</v>
      </c>
      <c r="AW8" s="70">
        <v>0.04</v>
      </c>
      <c r="AX8" s="70">
        <v>0.04</v>
      </c>
      <c r="AY8" s="70">
        <v>0.04</v>
      </c>
      <c r="AZ8" s="70">
        <v>0.05</v>
      </c>
      <c r="BA8" s="70">
        <v>0.05</v>
      </c>
      <c r="BB8" s="70">
        <v>0.06</v>
      </c>
      <c r="BC8" s="70">
        <v>0.06</v>
      </c>
      <c r="BD8" s="70">
        <v>0.07</v>
      </c>
      <c r="BE8" s="70">
        <v>0.07</v>
      </c>
      <c r="BF8" s="71">
        <v>0.08</v>
      </c>
      <c r="BH8" s="1" t="s">
        <v>165</v>
      </c>
      <c r="BI8" s="1">
        <v>3</v>
      </c>
      <c r="BJ8" s="160">
        <v>110</v>
      </c>
      <c r="BK8" s="161">
        <v>130</v>
      </c>
      <c r="BL8" s="161">
        <v>140</v>
      </c>
      <c r="BM8" s="20">
        <v>150</v>
      </c>
      <c r="BO8" s="1" t="s">
        <v>165</v>
      </c>
      <c r="BP8" s="1">
        <v>3</v>
      </c>
      <c r="BQ8" s="160">
        <v>110</v>
      </c>
      <c r="BR8" s="161">
        <v>130</v>
      </c>
      <c r="BS8" s="161">
        <v>140</v>
      </c>
      <c r="BT8" s="20">
        <v>150</v>
      </c>
    </row>
    <row r="9" spans="2:72" ht="13.5" customHeight="1">
      <c r="B9" s="21">
        <v>20000.1</v>
      </c>
      <c r="C9" s="22">
        <v>6</v>
      </c>
      <c r="M9" s="4" t="s">
        <v>31</v>
      </c>
      <c r="N9" s="2" t="s">
        <v>1</v>
      </c>
      <c r="O9" s="2">
        <v>3</v>
      </c>
      <c r="P9" s="38">
        <v>23.835</v>
      </c>
      <c r="Q9" s="39">
        <v>7.5619</v>
      </c>
      <c r="R9" s="39">
        <v>14.681</v>
      </c>
      <c r="S9" s="39">
        <v>35.649</v>
      </c>
      <c r="T9" s="39">
        <v>13.279</v>
      </c>
      <c r="U9" s="40">
        <v>26.182</v>
      </c>
      <c r="W9" s="2"/>
      <c r="X9" s="4" t="s">
        <v>32</v>
      </c>
      <c r="Y9" s="2" t="s">
        <v>1</v>
      </c>
      <c r="Z9" s="2">
        <v>3</v>
      </c>
      <c r="AA9" s="38">
        <v>44.095</v>
      </c>
      <c r="AB9" s="39">
        <v>7.5619</v>
      </c>
      <c r="AC9" s="39">
        <v>14.681</v>
      </c>
      <c r="AD9" s="39">
        <v>88.409</v>
      </c>
      <c r="AE9" s="39">
        <v>13.279</v>
      </c>
      <c r="AF9" s="40">
        <v>26.182</v>
      </c>
      <c r="AH9" s="2">
        <v>4</v>
      </c>
      <c r="AI9" s="69">
        <v>0.01</v>
      </c>
      <c r="AJ9" s="70">
        <v>0.01</v>
      </c>
      <c r="AK9" s="70">
        <v>0.01</v>
      </c>
      <c r="AL9" s="70">
        <v>0.01</v>
      </c>
      <c r="AM9" s="70">
        <v>0.01</v>
      </c>
      <c r="AN9" s="70">
        <v>0.01</v>
      </c>
      <c r="AO9" s="70">
        <v>0.01</v>
      </c>
      <c r="AP9" s="70">
        <v>0.01</v>
      </c>
      <c r="AQ9" s="70">
        <v>0.01</v>
      </c>
      <c r="AR9" s="70">
        <v>0.01</v>
      </c>
      <c r="AS9" s="71">
        <v>0.01</v>
      </c>
      <c r="AU9" s="2">
        <v>4</v>
      </c>
      <c r="AV9" s="69">
        <v>0.05</v>
      </c>
      <c r="AW9" s="70">
        <v>0.05</v>
      </c>
      <c r="AX9" s="70">
        <v>0.05</v>
      </c>
      <c r="AY9" s="70">
        <v>0.05</v>
      </c>
      <c r="AZ9" s="70">
        <v>0.05</v>
      </c>
      <c r="BA9" s="70">
        <v>0.05</v>
      </c>
      <c r="BB9" s="70">
        <v>0.05</v>
      </c>
      <c r="BC9" s="70">
        <v>0.05</v>
      </c>
      <c r="BD9" s="70">
        <v>0.05</v>
      </c>
      <c r="BE9" s="70">
        <v>0.05</v>
      </c>
      <c r="BF9" s="71">
        <v>0.05</v>
      </c>
      <c r="BH9" s="1" t="s">
        <v>166</v>
      </c>
      <c r="BI9" s="1">
        <v>4</v>
      </c>
      <c r="BJ9" s="160">
        <v>180</v>
      </c>
      <c r="BK9" s="161">
        <v>240</v>
      </c>
      <c r="BL9" s="161">
        <v>290</v>
      </c>
      <c r="BM9" s="20">
        <v>390</v>
      </c>
      <c r="BO9" s="1" t="s">
        <v>166</v>
      </c>
      <c r="BP9" s="1">
        <v>4</v>
      </c>
      <c r="BQ9" s="160">
        <v>180</v>
      </c>
      <c r="BR9" s="161">
        <v>240</v>
      </c>
      <c r="BS9" s="161">
        <v>290</v>
      </c>
      <c r="BT9" s="20">
        <v>390</v>
      </c>
    </row>
    <row r="10" spans="14:72" ht="13.5" customHeight="1">
      <c r="N10" s="4" t="s">
        <v>2</v>
      </c>
      <c r="O10" s="2">
        <v>4</v>
      </c>
      <c r="P10" s="38">
        <v>0.4741</v>
      </c>
      <c r="Q10" s="39">
        <v>0.5545</v>
      </c>
      <c r="R10" s="39">
        <v>0.434</v>
      </c>
      <c r="S10" s="39">
        <v>0.3109</v>
      </c>
      <c r="T10" s="39">
        <v>0.3257</v>
      </c>
      <c r="U10" s="40">
        <v>0.2098</v>
      </c>
      <c r="W10" s="2"/>
      <c r="X10" s="2"/>
      <c r="Y10" s="4" t="s">
        <v>2</v>
      </c>
      <c r="Z10" s="2">
        <v>4</v>
      </c>
      <c r="AA10" s="38">
        <v>0.4741</v>
      </c>
      <c r="AB10" s="39">
        <v>0.5545</v>
      </c>
      <c r="AC10" s="39">
        <v>0.434</v>
      </c>
      <c r="AD10" s="39">
        <v>0.3109</v>
      </c>
      <c r="AE10" s="39">
        <v>0.3257</v>
      </c>
      <c r="AF10" s="40">
        <v>0.2098</v>
      </c>
      <c r="AH10" s="2">
        <v>5</v>
      </c>
      <c r="AI10" s="69">
        <v>0.01</v>
      </c>
      <c r="AJ10" s="70">
        <v>0.01</v>
      </c>
      <c r="AK10" s="70">
        <v>0.01</v>
      </c>
      <c r="AL10" s="70">
        <v>0.01</v>
      </c>
      <c r="AM10" s="70">
        <v>0.01</v>
      </c>
      <c r="AN10" s="70">
        <v>0.01</v>
      </c>
      <c r="AO10" s="70">
        <v>0.01</v>
      </c>
      <c r="AP10" s="70">
        <v>0.01</v>
      </c>
      <c r="AQ10" s="70">
        <v>0.01</v>
      </c>
      <c r="AR10" s="70">
        <v>0.01</v>
      </c>
      <c r="AS10" s="71">
        <v>0.01</v>
      </c>
      <c r="AU10" s="2">
        <v>5</v>
      </c>
      <c r="AV10" s="69">
        <v>0.1</v>
      </c>
      <c r="AW10" s="70">
        <v>0.1</v>
      </c>
      <c r="AX10" s="70">
        <v>0.11</v>
      </c>
      <c r="AY10" s="70">
        <v>0.12</v>
      </c>
      <c r="AZ10" s="70">
        <v>0.13</v>
      </c>
      <c r="BA10" s="70">
        <v>0.14</v>
      </c>
      <c r="BB10" s="70">
        <v>0.15</v>
      </c>
      <c r="BC10" s="70">
        <v>0.16</v>
      </c>
      <c r="BD10" s="70">
        <v>0.17</v>
      </c>
      <c r="BE10" s="70">
        <v>0.18</v>
      </c>
      <c r="BF10" s="71">
        <v>0.19</v>
      </c>
      <c r="BH10" s="1" t="s">
        <v>167</v>
      </c>
      <c r="BI10" s="1">
        <v>5</v>
      </c>
      <c r="BJ10" s="160">
        <v>30</v>
      </c>
      <c r="BK10" s="161">
        <v>48</v>
      </c>
      <c r="BL10" s="161">
        <v>66</v>
      </c>
      <c r="BM10" s="20">
        <v>100</v>
      </c>
      <c r="BO10" s="1" t="s">
        <v>167</v>
      </c>
      <c r="BP10" s="1">
        <v>5</v>
      </c>
      <c r="BQ10" s="160">
        <v>30</v>
      </c>
      <c r="BR10" s="161">
        <v>48</v>
      </c>
      <c r="BS10" s="161">
        <v>66</v>
      </c>
      <c r="BT10" s="20">
        <v>100</v>
      </c>
    </row>
    <row r="11" spans="5:72" ht="13.5" customHeight="1">
      <c r="E11" s="2">
        <v>300</v>
      </c>
      <c r="F11" s="2">
        <v>500</v>
      </c>
      <c r="G11" s="2">
        <v>1000</v>
      </c>
      <c r="H11" s="2">
        <v>10000</v>
      </c>
      <c r="I11" s="1">
        <v>20000</v>
      </c>
      <c r="J11" s="1">
        <v>20001</v>
      </c>
      <c r="M11" s="2" t="s">
        <v>33</v>
      </c>
      <c r="N11" s="2" t="s">
        <v>1</v>
      </c>
      <c r="O11" s="2">
        <v>5</v>
      </c>
      <c r="P11" s="38">
        <v>0.061826</v>
      </c>
      <c r="Q11" s="39">
        <v>0.050866</v>
      </c>
      <c r="R11" s="39">
        <v>0.023435</v>
      </c>
      <c r="S11" s="39">
        <v>0.012046</v>
      </c>
      <c r="T11" s="39">
        <v>0.0054425</v>
      </c>
      <c r="U11" s="40">
        <v>0.0021935</v>
      </c>
      <c r="W11" s="2"/>
      <c r="X11" s="2" t="s">
        <v>33</v>
      </c>
      <c r="Y11" s="2" t="s">
        <v>1</v>
      </c>
      <c r="Z11" s="2">
        <v>5</v>
      </c>
      <c r="AA11" s="38">
        <v>0.11438</v>
      </c>
      <c r="AB11" s="39">
        <v>0.050886</v>
      </c>
      <c r="AC11" s="39">
        <v>0.023435</v>
      </c>
      <c r="AD11" s="39">
        <v>0.029873</v>
      </c>
      <c r="AE11" s="39">
        <v>0.0054425</v>
      </c>
      <c r="AF11" s="40">
        <v>0.0021935</v>
      </c>
      <c r="AH11" s="2">
        <v>6</v>
      </c>
      <c r="AI11" s="69">
        <v>0.02</v>
      </c>
      <c r="AJ11" s="70">
        <v>0.03</v>
      </c>
      <c r="AK11" s="70">
        <v>0.03</v>
      </c>
      <c r="AL11" s="70">
        <v>0.03</v>
      </c>
      <c r="AM11" s="70">
        <v>0.04</v>
      </c>
      <c r="AN11" s="70">
        <v>0.04</v>
      </c>
      <c r="AO11" s="70">
        <v>0.04</v>
      </c>
      <c r="AP11" s="70">
        <v>0.05</v>
      </c>
      <c r="AQ11" s="70">
        <v>0.06</v>
      </c>
      <c r="AR11" s="70">
        <v>0.08</v>
      </c>
      <c r="AS11" s="71">
        <v>0.08</v>
      </c>
      <c r="AU11" s="2">
        <v>6</v>
      </c>
      <c r="AV11" s="69">
        <v>0.08</v>
      </c>
      <c r="AW11" s="70">
        <v>0.08</v>
      </c>
      <c r="AX11" s="70">
        <v>0.08</v>
      </c>
      <c r="AY11" s="70">
        <v>0.08</v>
      </c>
      <c r="AZ11" s="70">
        <v>0.08</v>
      </c>
      <c r="BA11" s="70">
        <v>0.08</v>
      </c>
      <c r="BB11" s="70">
        <v>0.08</v>
      </c>
      <c r="BC11" s="70">
        <v>0.08</v>
      </c>
      <c r="BD11" s="70">
        <v>0.08</v>
      </c>
      <c r="BE11" s="70">
        <v>0.08</v>
      </c>
      <c r="BF11" s="71">
        <v>0.08</v>
      </c>
      <c r="BH11" s="1" t="s">
        <v>168</v>
      </c>
      <c r="BI11" s="1">
        <v>6</v>
      </c>
      <c r="BJ11" s="162">
        <v>38</v>
      </c>
      <c r="BK11" s="163">
        <v>49</v>
      </c>
      <c r="BL11" s="163">
        <v>59</v>
      </c>
      <c r="BM11" s="22">
        <v>77</v>
      </c>
      <c r="BO11" s="1" t="s">
        <v>168</v>
      </c>
      <c r="BP11" s="1">
        <v>6</v>
      </c>
      <c r="BQ11" s="162">
        <v>38</v>
      </c>
      <c r="BR11" s="163">
        <v>49</v>
      </c>
      <c r="BS11" s="163">
        <v>59</v>
      </c>
      <c r="BT11" s="22">
        <v>77</v>
      </c>
    </row>
    <row r="12" spans="2:58" ht="13.5" customHeight="1">
      <c r="B12" s="2"/>
      <c r="C12" s="2"/>
      <c r="D12" s="2"/>
      <c r="E12" s="1">
        <v>1</v>
      </c>
      <c r="F12" s="1">
        <v>2</v>
      </c>
      <c r="G12" s="1">
        <v>3</v>
      </c>
      <c r="H12" s="1">
        <v>4</v>
      </c>
      <c r="I12" s="1">
        <v>5</v>
      </c>
      <c r="J12" s="1">
        <v>6</v>
      </c>
      <c r="N12" s="4" t="s">
        <v>2</v>
      </c>
      <c r="O12" s="2">
        <v>6</v>
      </c>
      <c r="P12" s="38">
        <v>1371.6</v>
      </c>
      <c r="Q12" s="39">
        <v>817.33</v>
      </c>
      <c r="R12" s="39">
        <v>611.25</v>
      </c>
      <c r="S12" s="39">
        <v>533.97</v>
      </c>
      <c r="T12" s="39">
        <v>225.35</v>
      </c>
      <c r="U12" s="40">
        <v>165.23</v>
      </c>
      <c r="W12" s="2"/>
      <c r="X12" s="2"/>
      <c r="Y12" s="4" t="s">
        <v>2</v>
      </c>
      <c r="Z12" s="2">
        <v>6</v>
      </c>
      <c r="AA12" s="38">
        <v>2537.5</v>
      </c>
      <c r="AB12" s="39">
        <v>817.33</v>
      </c>
      <c r="AC12" s="39">
        <v>611.25</v>
      </c>
      <c r="AD12" s="39">
        <v>1324.2</v>
      </c>
      <c r="AE12" s="39">
        <v>225.35</v>
      </c>
      <c r="AF12" s="40">
        <v>165.23</v>
      </c>
      <c r="AH12" s="2">
        <v>7</v>
      </c>
      <c r="AI12" s="69">
        <v>0.02</v>
      </c>
      <c r="AJ12" s="70">
        <v>0.02</v>
      </c>
      <c r="AK12" s="70">
        <v>0.02</v>
      </c>
      <c r="AL12" s="70">
        <v>0.02</v>
      </c>
      <c r="AM12" s="70">
        <v>0.02</v>
      </c>
      <c r="AN12" s="70">
        <v>0.02</v>
      </c>
      <c r="AO12" s="70">
        <v>0.02</v>
      </c>
      <c r="AP12" s="70">
        <v>0.02</v>
      </c>
      <c r="AQ12" s="70">
        <v>0.02</v>
      </c>
      <c r="AR12" s="70">
        <v>0.02</v>
      </c>
      <c r="AS12" s="71">
        <v>0.02</v>
      </c>
      <c r="AU12" s="2">
        <v>7</v>
      </c>
      <c r="AV12" s="69">
        <v>0.19</v>
      </c>
      <c r="AW12" s="70">
        <v>0.19</v>
      </c>
      <c r="AX12" s="70">
        <v>0.19</v>
      </c>
      <c r="AY12" s="70">
        <v>0.19</v>
      </c>
      <c r="AZ12" s="70">
        <v>0.18</v>
      </c>
      <c r="BA12" s="70">
        <v>0.18</v>
      </c>
      <c r="BB12" s="70">
        <v>0.18</v>
      </c>
      <c r="BC12" s="70">
        <v>0.17</v>
      </c>
      <c r="BD12" s="70">
        <v>0.17</v>
      </c>
      <c r="BE12" s="70">
        <v>0.17</v>
      </c>
      <c r="BF12" s="71">
        <v>0.16</v>
      </c>
    </row>
    <row r="13" spans="2:58" ht="13.5" customHeight="1">
      <c r="B13" s="2" t="s">
        <v>28</v>
      </c>
      <c r="C13" s="2" t="s">
        <v>0</v>
      </c>
      <c r="D13" s="2">
        <v>1</v>
      </c>
      <c r="E13" s="23">
        <v>1</v>
      </c>
      <c r="F13" s="24">
        <v>1</v>
      </c>
      <c r="G13" s="24">
        <v>3</v>
      </c>
      <c r="H13" s="24">
        <v>3</v>
      </c>
      <c r="I13" s="24">
        <v>3</v>
      </c>
      <c r="J13" s="25">
        <v>5</v>
      </c>
      <c r="L13" s="4" t="s">
        <v>4</v>
      </c>
      <c r="M13" s="2" t="s">
        <v>30</v>
      </c>
      <c r="N13" s="2" t="s">
        <v>1</v>
      </c>
      <c r="O13" s="2">
        <v>7</v>
      </c>
      <c r="P13" s="38">
        <v>0.864</v>
      </c>
      <c r="Q13" s="39">
        <v>0.48489</v>
      </c>
      <c r="R13" s="39">
        <v>0.2395</v>
      </c>
      <c r="S13" s="39">
        <v>0.70765</v>
      </c>
      <c r="T13" s="39">
        <v>0.12068</v>
      </c>
      <c r="U13" s="40">
        <v>0.048439</v>
      </c>
      <c r="W13" s="4" t="s">
        <v>4</v>
      </c>
      <c r="X13" s="4" t="s">
        <v>22</v>
      </c>
      <c r="Y13" s="2" t="s">
        <v>1</v>
      </c>
      <c r="Z13" s="2">
        <v>7</v>
      </c>
      <c r="AA13" s="38">
        <v>1.448</v>
      </c>
      <c r="AB13" s="39">
        <v>0.39378</v>
      </c>
      <c r="AC13" s="39">
        <v>0.22125</v>
      </c>
      <c r="AD13" s="39">
        <v>1.0633</v>
      </c>
      <c r="AE13" s="39">
        <v>0.1009</v>
      </c>
      <c r="AF13" s="40">
        <v>0.051817</v>
      </c>
      <c r="AH13" s="2">
        <v>8</v>
      </c>
      <c r="AI13" s="69">
        <v>0.08</v>
      </c>
      <c r="AJ13" s="70">
        <v>0.09</v>
      </c>
      <c r="AK13" s="70">
        <v>0.09</v>
      </c>
      <c r="AL13" s="70">
        <v>0.09</v>
      </c>
      <c r="AM13" s="70">
        <v>0.09</v>
      </c>
      <c r="AN13" s="70">
        <v>0.09</v>
      </c>
      <c r="AO13" s="70">
        <v>0.09</v>
      </c>
      <c r="AP13" s="70">
        <v>0.09</v>
      </c>
      <c r="AQ13" s="70">
        <v>0.09</v>
      </c>
      <c r="AR13" s="70">
        <v>0.09</v>
      </c>
      <c r="AS13" s="71">
        <v>0.09</v>
      </c>
      <c r="AU13" s="2">
        <v>8</v>
      </c>
      <c r="AV13" s="69">
        <v>0.06</v>
      </c>
      <c r="AW13" s="70">
        <v>0.07</v>
      </c>
      <c r="AX13" s="70">
        <v>0.07</v>
      </c>
      <c r="AY13" s="70">
        <v>0.07</v>
      </c>
      <c r="AZ13" s="70">
        <v>0.07</v>
      </c>
      <c r="BA13" s="70">
        <v>0.07</v>
      </c>
      <c r="BB13" s="70">
        <v>0.08</v>
      </c>
      <c r="BC13" s="70">
        <v>0.08</v>
      </c>
      <c r="BD13" s="70">
        <v>0.08</v>
      </c>
      <c r="BE13" s="70">
        <v>0.08</v>
      </c>
      <c r="BF13" s="71">
        <v>0.08</v>
      </c>
    </row>
    <row r="14" spans="2:58" ht="13.5" customHeight="1">
      <c r="B14" s="2"/>
      <c r="C14" s="4" t="s">
        <v>4</v>
      </c>
      <c r="D14" s="2">
        <v>2</v>
      </c>
      <c r="E14" s="26">
        <v>7</v>
      </c>
      <c r="F14" s="27">
        <v>7</v>
      </c>
      <c r="G14" s="27">
        <v>9</v>
      </c>
      <c r="H14" s="27">
        <v>9</v>
      </c>
      <c r="I14" s="27">
        <v>9</v>
      </c>
      <c r="J14" s="28">
        <v>11</v>
      </c>
      <c r="N14" s="4" t="s">
        <v>2</v>
      </c>
      <c r="O14" s="2">
        <v>8</v>
      </c>
      <c r="P14" s="38">
        <v>24</v>
      </c>
      <c r="Q14" s="39">
        <v>24</v>
      </c>
      <c r="R14" s="39">
        <v>24</v>
      </c>
      <c r="S14" s="39">
        <v>24</v>
      </c>
      <c r="T14" s="39">
        <v>24</v>
      </c>
      <c r="U14" s="40">
        <v>24</v>
      </c>
      <c r="W14" s="2"/>
      <c r="X14" s="2"/>
      <c r="Y14" s="4" t="s">
        <v>2</v>
      </c>
      <c r="Z14" s="2">
        <v>8</v>
      </c>
      <c r="AA14" s="38">
        <v>24</v>
      </c>
      <c r="AB14" s="39">
        <v>24</v>
      </c>
      <c r="AC14" s="39">
        <v>24</v>
      </c>
      <c r="AD14" s="39">
        <v>24</v>
      </c>
      <c r="AE14" s="39">
        <v>24</v>
      </c>
      <c r="AF14" s="40">
        <v>24</v>
      </c>
      <c r="AH14" s="2">
        <v>9</v>
      </c>
      <c r="AI14" s="69">
        <v>0.02</v>
      </c>
      <c r="AJ14" s="70">
        <v>0.02</v>
      </c>
      <c r="AK14" s="70">
        <v>0.02</v>
      </c>
      <c r="AL14" s="70">
        <v>0.02</v>
      </c>
      <c r="AM14" s="70">
        <v>0.02</v>
      </c>
      <c r="AN14" s="70">
        <v>0.02</v>
      </c>
      <c r="AO14" s="70">
        <v>0.03</v>
      </c>
      <c r="AP14" s="70">
        <v>0.03</v>
      </c>
      <c r="AQ14" s="70">
        <v>0.03</v>
      </c>
      <c r="AR14" s="70">
        <v>0.03</v>
      </c>
      <c r="AS14" s="71">
        <v>0.03</v>
      </c>
      <c r="AU14" s="2">
        <v>9</v>
      </c>
      <c r="AV14" s="69">
        <v>0.04</v>
      </c>
      <c r="AW14" s="70">
        <v>0.04</v>
      </c>
      <c r="AX14" s="70">
        <v>0.04</v>
      </c>
      <c r="AY14" s="70">
        <v>0.05</v>
      </c>
      <c r="AZ14" s="70">
        <v>0.05</v>
      </c>
      <c r="BA14" s="70">
        <v>0.06</v>
      </c>
      <c r="BB14" s="70">
        <v>0.06</v>
      </c>
      <c r="BC14" s="70">
        <v>0.07</v>
      </c>
      <c r="BD14" s="70">
        <v>0.07</v>
      </c>
      <c r="BE14" s="70">
        <v>0.08</v>
      </c>
      <c r="BF14" s="71">
        <v>0.08</v>
      </c>
    </row>
    <row r="15" spans="3:58" ht="13.5" customHeight="1">
      <c r="C15" s="4" t="s">
        <v>5</v>
      </c>
      <c r="D15" s="2">
        <v>3</v>
      </c>
      <c r="E15" s="26">
        <v>13</v>
      </c>
      <c r="F15" s="27">
        <v>13</v>
      </c>
      <c r="G15" s="27">
        <v>15</v>
      </c>
      <c r="H15" s="27">
        <v>15</v>
      </c>
      <c r="I15" s="27">
        <v>17</v>
      </c>
      <c r="J15" s="28">
        <v>17</v>
      </c>
      <c r="M15" s="4" t="s">
        <v>31</v>
      </c>
      <c r="N15" s="2" t="s">
        <v>1</v>
      </c>
      <c r="O15" s="2">
        <v>9</v>
      </c>
      <c r="P15" s="38">
        <v>14.652</v>
      </c>
      <c r="Q15" s="39">
        <v>4.7233</v>
      </c>
      <c r="R15" s="39">
        <v>1.1954</v>
      </c>
      <c r="S15" s="39">
        <v>79.95</v>
      </c>
      <c r="T15" s="39">
        <v>2.4966</v>
      </c>
      <c r="U15" s="40">
        <v>0.83381</v>
      </c>
      <c r="W15" s="2"/>
      <c r="X15" s="4" t="s">
        <v>32</v>
      </c>
      <c r="Y15" s="2" t="s">
        <v>1</v>
      </c>
      <c r="Z15" s="2">
        <v>9</v>
      </c>
      <c r="AA15" s="38">
        <v>32.234</v>
      </c>
      <c r="AB15" s="39">
        <v>4.7233</v>
      </c>
      <c r="AC15" s="39">
        <v>1.1954</v>
      </c>
      <c r="AD15" s="39">
        <v>193.48</v>
      </c>
      <c r="AE15" s="39">
        <v>2.4966</v>
      </c>
      <c r="AF15" s="40">
        <v>0.83381</v>
      </c>
      <c r="AH15" s="2">
        <v>10</v>
      </c>
      <c r="AI15" s="69">
        <v>0.02</v>
      </c>
      <c r="AJ15" s="70">
        <v>0.02</v>
      </c>
      <c r="AK15" s="70">
        <v>0.02</v>
      </c>
      <c r="AL15" s="70">
        <v>0.02</v>
      </c>
      <c r="AM15" s="70">
        <v>0.02</v>
      </c>
      <c r="AN15" s="70">
        <v>0.02</v>
      </c>
      <c r="AO15" s="70">
        <v>0.02</v>
      </c>
      <c r="AP15" s="70">
        <v>0.02</v>
      </c>
      <c r="AQ15" s="70">
        <v>0.01</v>
      </c>
      <c r="AR15" s="70">
        <v>0.01</v>
      </c>
      <c r="AS15" s="71">
        <v>0.01</v>
      </c>
      <c r="AU15" s="2">
        <v>10</v>
      </c>
      <c r="AV15" s="69">
        <v>0.04</v>
      </c>
      <c r="AW15" s="70">
        <v>0.04</v>
      </c>
      <c r="AX15" s="70">
        <v>0.04</v>
      </c>
      <c r="AY15" s="70">
        <v>0.03</v>
      </c>
      <c r="AZ15" s="70">
        <v>0.03</v>
      </c>
      <c r="BA15" s="70">
        <v>0.03</v>
      </c>
      <c r="BB15" s="70">
        <v>0.02</v>
      </c>
      <c r="BC15" s="70">
        <v>0.02</v>
      </c>
      <c r="BD15" s="70">
        <v>0.02</v>
      </c>
      <c r="BE15" s="70">
        <v>0.02</v>
      </c>
      <c r="BF15" s="71">
        <v>0.02</v>
      </c>
    </row>
    <row r="16" spans="3:58" ht="13.5" customHeight="1">
      <c r="C16" s="4" t="s">
        <v>6</v>
      </c>
      <c r="D16" s="2">
        <v>4</v>
      </c>
      <c r="E16" s="26">
        <v>19</v>
      </c>
      <c r="F16" s="27">
        <v>19</v>
      </c>
      <c r="G16" s="27">
        <v>21</v>
      </c>
      <c r="H16" s="27">
        <v>21</v>
      </c>
      <c r="I16" s="27">
        <v>23</v>
      </c>
      <c r="J16" s="28">
        <v>23</v>
      </c>
      <c r="N16" s="4" t="s">
        <v>2</v>
      </c>
      <c r="O16" s="2">
        <v>10</v>
      </c>
      <c r="P16" s="38">
        <v>0.5532</v>
      </c>
      <c r="Q16" s="39">
        <v>0.6489</v>
      </c>
      <c r="R16" s="39">
        <v>0.7707</v>
      </c>
      <c r="S16" s="39">
        <v>0.2499</v>
      </c>
      <c r="T16" s="39">
        <v>0.5664</v>
      </c>
      <c r="U16" s="40">
        <v>0.6529</v>
      </c>
      <c r="W16" s="2"/>
      <c r="X16" s="2"/>
      <c r="Y16" s="4" t="s">
        <v>2</v>
      </c>
      <c r="Z16" s="2">
        <v>10</v>
      </c>
      <c r="AA16" s="38">
        <v>0.5532</v>
      </c>
      <c r="AB16" s="39">
        <v>0.6489</v>
      </c>
      <c r="AC16" s="39">
        <v>0.7707</v>
      </c>
      <c r="AD16" s="39">
        <v>0.2499</v>
      </c>
      <c r="AE16" s="39">
        <v>0.5664</v>
      </c>
      <c r="AF16" s="40">
        <v>0.6529</v>
      </c>
      <c r="AH16" s="2">
        <v>11</v>
      </c>
      <c r="AI16" s="69">
        <v>0.03</v>
      </c>
      <c r="AJ16" s="70">
        <v>0.03</v>
      </c>
      <c r="AK16" s="70">
        <v>0.03</v>
      </c>
      <c r="AL16" s="70">
        <v>0.03</v>
      </c>
      <c r="AM16" s="70">
        <v>0.03</v>
      </c>
      <c r="AN16" s="70">
        <v>0.03</v>
      </c>
      <c r="AO16" s="70">
        <v>0.03</v>
      </c>
      <c r="AP16" s="70">
        <v>0.03</v>
      </c>
      <c r="AQ16" s="70">
        <v>0.03</v>
      </c>
      <c r="AR16" s="70">
        <v>0.03</v>
      </c>
      <c r="AS16" s="71">
        <v>0.03</v>
      </c>
      <c r="AU16" s="2">
        <v>11</v>
      </c>
      <c r="AV16" s="69">
        <v>0.02</v>
      </c>
      <c r="AW16" s="70">
        <v>0.02</v>
      </c>
      <c r="AX16" s="70">
        <v>0.02</v>
      </c>
      <c r="AY16" s="70">
        <v>0.03</v>
      </c>
      <c r="AZ16" s="70">
        <v>0.03</v>
      </c>
      <c r="BA16" s="70">
        <v>0.03</v>
      </c>
      <c r="BB16" s="70">
        <v>0.03</v>
      </c>
      <c r="BC16" s="70">
        <v>0.03</v>
      </c>
      <c r="BD16" s="70">
        <v>0.03</v>
      </c>
      <c r="BE16" s="70">
        <v>0.03</v>
      </c>
      <c r="BF16" s="71">
        <v>0.03</v>
      </c>
    </row>
    <row r="17" spans="3:58" ht="13.5" customHeight="1">
      <c r="C17" s="4" t="s">
        <v>21</v>
      </c>
      <c r="D17" s="2">
        <v>5</v>
      </c>
      <c r="E17" s="26">
        <v>25</v>
      </c>
      <c r="F17" s="27">
        <v>27</v>
      </c>
      <c r="G17" s="27">
        <v>27</v>
      </c>
      <c r="H17" s="27">
        <v>27</v>
      </c>
      <c r="I17" s="27">
        <v>29</v>
      </c>
      <c r="J17" s="28">
        <v>29</v>
      </c>
      <c r="M17" s="2" t="s">
        <v>33</v>
      </c>
      <c r="N17" s="2" t="s">
        <v>1</v>
      </c>
      <c r="O17" s="2">
        <v>11</v>
      </c>
      <c r="P17" s="38">
        <v>0.097069</v>
      </c>
      <c r="Q17" s="39">
        <v>0.094696</v>
      </c>
      <c r="R17" s="39">
        <v>0.095098</v>
      </c>
      <c r="S17" s="39">
        <v>0.011868</v>
      </c>
      <c r="T17" s="39">
        <v>0.019299</v>
      </c>
      <c r="U17" s="40">
        <v>0.0175</v>
      </c>
      <c r="W17" s="2"/>
      <c r="X17" s="2" t="s">
        <v>33</v>
      </c>
      <c r="Y17" s="2" t="s">
        <v>1</v>
      </c>
      <c r="Z17" s="2">
        <v>11</v>
      </c>
      <c r="AA17" s="38">
        <v>0.21355</v>
      </c>
      <c r="AB17" s="39">
        <v>0.094696</v>
      </c>
      <c r="AC17" s="39">
        <v>0.095098</v>
      </c>
      <c r="AD17" s="39">
        <v>0.028721</v>
      </c>
      <c r="AE17" s="39">
        <v>0.019299</v>
      </c>
      <c r="AF17" s="40">
        <v>0.0175</v>
      </c>
      <c r="AH17" s="2">
        <v>12</v>
      </c>
      <c r="AI17" s="69">
        <v>0.02</v>
      </c>
      <c r="AJ17" s="70">
        <v>0.02</v>
      </c>
      <c r="AK17" s="70">
        <v>0.02</v>
      </c>
      <c r="AL17" s="70">
        <v>0.02</v>
      </c>
      <c r="AM17" s="70">
        <v>0.02</v>
      </c>
      <c r="AN17" s="70">
        <v>0.02</v>
      </c>
      <c r="AO17" s="70">
        <v>0.02</v>
      </c>
      <c r="AP17" s="70">
        <v>0.02</v>
      </c>
      <c r="AQ17" s="70">
        <v>0.02</v>
      </c>
      <c r="AR17" s="70">
        <v>0.02</v>
      </c>
      <c r="AS17" s="71">
        <v>0.02</v>
      </c>
      <c r="AU17" s="2">
        <v>12</v>
      </c>
      <c r="AV17" s="69">
        <v>0.06</v>
      </c>
      <c r="AW17" s="70">
        <v>0.06</v>
      </c>
      <c r="AX17" s="70">
        <v>0.06</v>
      </c>
      <c r="AY17" s="70">
        <v>0.05</v>
      </c>
      <c r="AZ17" s="70">
        <v>0.05</v>
      </c>
      <c r="BA17" s="70">
        <v>0.05</v>
      </c>
      <c r="BB17" s="70">
        <v>0.04</v>
      </c>
      <c r="BC17" s="70">
        <v>0.04</v>
      </c>
      <c r="BD17" s="70">
        <v>0.04</v>
      </c>
      <c r="BE17" s="70">
        <v>0.03</v>
      </c>
      <c r="BF17" s="71">
        <v>0.03</v>
      </c>
    </row>
    <row r="18" spans="3:58" ht="13.5" customHeight="1">
      <c r="C18" s="4" t="s">
        <v>7</v>
      </c>
      <c r="D18" s="2">
        <v>6</v>
      </c>
      <c r="E18" s="26">
        <v>31</v>
      </c>
      <c r="F18" s="27">
        <v>31</v>
      </c>
      <c r="G18" s="27">
        <v>33</v>
      </c>
      <c r="H18" s="27">
        <v>33</v>
      </c>
      <c r="I18" s="27">
        <v>35</v>
      </c>
      <c r="J18" s="28">
        <v>35</v>
      </c>
      <c r="N18" s="4" t="s">
        <v>2</v>
      </c>
      <c r="O18" s="2">
        <v>12</v>
      </c>
      <c r="P18" s="38">
        <v>1568</v>
      </c>
      <c r="Q18" s="39">
        <v>1024.7</v>
      </c>
      <c r="R18" s="39">
        <v>565.88</v>
      </c>
      <c r="S18" s="39">
        <v>712.47</v>
      </c>
      <c r="T18" s="39">
        <v>295.5</v>
      </c>
      <c r="U18" s="40">
        <v>186.06</v>
      </c>
      <c r="W18" s="2"/>
      <c r="X18" s="2"/>
      <c r="Y18" s="4" t="s">
        <v>2</v>
      </c>
      <c r="Z18" s="2">
        <v>12</v>
      </c>
      <c r="AA18" s="38">
        <v>3449.5</v>
      </c>
      <c r="AB18" s="39">
        <v>1024.7</v>
      </c>
      <c r="AC18" s="39">
        <v>565.88</v>
      </c>
      <c r="AD18" s="39">
        <v>1724.2</v>
      </c>
      <c r="AE18" s="39">
        <v>295.5</v>
      </c>
      <c r="AF18" s="40">
        <v>186.06</v>
      </c>
      <c r="AH18" s="2">
        <v>13</v>
      </c>
      <c r="AI18" s="69">
        <v>0.01</v>
      </c>
      <c r="AJ18" s="70">
        <v>0.01</v>
      </c>
      <c r="AK18" s="70">
        <v>0.01</v>
      </c>
      <c r="AL18" s="70">
        <v>0.02</v>
      </c>
      <c r="AM18" s="70">
        <v>0.02</v>
      </c>
      <c r="AN18" s="70">
        <v>0.02</v>
      </c>
      <c r="AO18" s="70">
        <v>0.02</v>
      </c>
      <c r="AP18" s="70">
        <v>0.02</v>
      </c>
      <c r="AQ18" s="70">
        <v>0.02</v>
      </c>
      <c r="AR18" s="70">
        <v>0.02</v>
      </c>
      <c r="AS18" s="71">
        <v>0.02</v>
      </c>
      <c r="AU18" s="2">
        <v>13</v>
      </c>
      <c r="AV18" s="69">
        <v>0.03</v>
      </c>
      <c r="AW18" s="70">
        <v>0.03</v>
      </c>
      <c r="AX18" s="70">
        <v>0.03</v>
      </c>
      <c r="AY18" s="70">
        <v>0.03</v>
      </c>
      <c r="AZ18" s="70">
        <v>0.02</v>
      </c>
      <c r="BA18" s="70">
        <v>0.02</v>
      </c>
      <c r="BB18" s="70">
        <v>0.02</v>
      </c>
      <c r="BC18" s="70">
        <v>0.02</v>
      </c>
      <c r="BD18" s="70">
        <v>0.02</v>
      </c>
      <c r="BE18" s="70">
        <v>0.02</v>
      </c>
      <c r="BF18" s="71">
        <v>0.02</v>
      </c>
    </row>
    <row r="19" spans="3:58" ht="13.5" customHeight="1">
      <c r="C19" s="4" t="s">
        <v>8</v>
      </c>
      <c r="D19" s="2">
        <v>7</v>
      </c>
      <c r="E19" s="26">
        <v>37</v>
      </c>
      <c r="F19" s="27">
        <v>37</v>
      </c>
      <c r="G19" s="27">
        <v>39</v>
      </c>
      <c r="H19" s="27">
        <v>39</v>
      </c>
      <c r="I19" s="27">
        <v>39</v>
      </c>
      <c r="J19" s="28">
        <v>41</v>
      </c>
      <c r="L19" s="4" t="s">
        <v>5</v>
      </c>
      <c r="M19" s="2" t="s">
        <v>30</v>
      </c>
      <c r="N19" s="2" t="s">
        <v>1</v>
      </c>
      <c r="O19" s="2">
        <v>13</v>
      </c>
      <c r="P19" s="38">
        <v>2.6249</v>
      </c>
      <c r="Q19" s="39">
        <v>1.0238</v>
      </c>
      <c r="R19" s="39">
        <v>0.92718</v>
      </c>
      <c r="S19" s="39">
        <v>1.3666</v>
      </c>
      <c r="T19" s="39">
        <v>0.44499</v>
      </c>
      <c r="U19" s="40">
        <v>0.32787</v>
      </c>
      <c r="W19" s="4" t="s">
        <v>5</v>
      </c>
      <c r="X19" s="4" t="s">
        <v>22</v>
      </c>
      <c r="Y19" s="2" t="s">
        <v>1</v>
      </c>
      <c r="Z19" s="2">
        <v>13</v>
      </c>
      <c r="AA19" s="38">
        <v>2.2042</v>
      </c>
      <c r="AB19" s="39">
        <v>0.67925</v>
      </c>
      <c r="AC19" s="39">
        <v>0.62233</v>
      </c>
      <c r="AD19" s="39">
        <v>0.91777</v>
      </c>
      <c r="AE19" s="39">
        <v>0.23984</v>
      </c>
      <c r="AF19" s="40">
        <v>0.22211</v>
      </c>
      <c r="AH19" s="2">
        <v>14</v>
      </c>
      <c r="AI19" s="69">
        <v>0.02</v>
      </c>
      <c r="AJ19" s="70">
        <v>0.02</v>
      </c>
      <c r="AK19" s="70">
        <v>0.02</v>
      </c>
      <c r="AL19" s="70">
        <v>0.02</v>
      </c>
      <c r="AM19" s="70">
        <v>0.02</v>
      </c>
      <c r="AN19" s="70">
        <v>0.01</v>
      </c>
      <c r="AO19" s="70">
        <v>0.01</v>
      </c>
      <c r="AP19" s="70">
        <v>0.01</v>
      </c>
      <c r="AQ19" s="70">
        <v>0.01</v>
      </c>
      <c r="AR19" s="70">
        <v>0.01</v>
      </c>
      <c r="AS19" s="71">
        <v>0.01</v>
      </c>
      <c r="AU19" s="2">
        <v>14</v>
      </c>
      <c r="AV19" s="69">
        <v>0.09</v>
      </c>
      <c r="AW19" s="70">
        <v>0.08</v>
      </c>
      <c r="AX19" s="70">
        <v>0.08</v>
      </c>
      <c r="AY19" s="70">
        <v>0.07</v>
      </c>
      <c r="AZ19" s="70">
        <v>0.07</v>
      </c>
      <c r="BA19" s="70">
        <v>0.06</v>
      </c>
      <c r="BB19" s="70">
        <v>0.06</v>
      </c>
      <c r="BC19" s="70">
        <v>0.05</v>
      </c>
      <c r="BD19" s="70">
        <v>0.05</v>
      </c>
      <c r="BE19" s="70">
        <v>0.05</v>
      </c>
      <c r="BF19" s="71">
        <v>0.04</v>
      </c>
    </row>
    <row r="20" spans="3:58" ht="13.5" customHeight="1">
      <c r="C20" s="4" t="s">
        <v>9</v>
      </c>
      <c r="D20" s="2">
        <v>8</v>
      </c>
      <c r="E20" s="26">
        <v>43</v>
      </c>
      <c r="F20" s="27">
        <v>43</v>
      </c>
      <c r="G20" s="27">
        <v>43</v>
      </c>
      <c r="H20" s="27">
        <v>45</v>
      </c>
      <c r="I20" s="27">
        <v>45</v>
      </c>
      <c r="J20" s="28">
        <v>47</v>
      </c>
      <c r="N20" s="4" t="s">
        <v>2</v>
      </c>
      <c r="O20" s="2">
        <v>14</v>
      </c>
      <c r="P20" s="38">
        <v>24</v>
      </c>
      <c r="Q20" s="39">
        <v>24</v>
      </c>
      <c r="R20" s="39">
        <v>24</v>
      </c>
      <c r="S20" s="39">
        <v>24</v>
      </c>
      <c r="T20" s="39">
        <v>24</v>
      </c>
      <c r="U20" s="40">
        <v>24</v>
      </c>
      <c r="W20" s="2"/>
      <c r="X20" s="2"/>
      <c r="Y20" s="4" t="s">
        <v>2</v>
      </c>
      <c r="Z20" s="2">
        <v>14</v>
      </c>
      <c r="AA20" s="38">
        <v>24</v>
      </c>
      <c r="AB20" s="39">
        <v>24</v>
      </c>
      <c r="AC20" s="39">
        <v>24</v>
      </c>
      <c r="AD20" s="39">
        <v>24</v>
      </c>
      <c r="AE20" s="39">
        <v>24</v>
      </c>
      <c r="AF20" s="40">
        <v>24</v>
      </c>
      <c r="AH20" s="2">
        <v>15</v>
      </c>
      <c r="AI20" s="69">
        <v>0.03</v>
      </c>
      <c r="AJ20" s="70">
        <v>0.03</v>
      </c>
      <c r="AK20" s="70">
        <v>0.03</v>
      </c>
      <c r="AL20" s="70">
        <v>0.03</v>
      </c>
      <c r="AM20" s="70">
        <v>0.04</v>
      </c>
      <c r="AN20" s="70">
        <v>0.04</v>
      </c>
      <c r="AO20" s="70">
        <v>0.04</v>
      </c>
      <c r="AP20" s="70">
        <v>0.04</v>
      </c>
      <c r="AQ20" s="70">
        <v>0.04</v>
      </c>
      <c r="AR20" s="70">
        <v>0.04</v>
      </c>
      <c r="AS20" s="71">
        <v>0.04</v>
      </c>
      <c r="AU20" s="2">
        <v>15</v>
      </c>
      <c r="AV20" s="69">
        <v>0.01</v>
      </c>
      <c r="AW20" s="70">
        <v>0.01</v>
      </c>
      <c r="AX20" s="70">
        <v>0.01</v>
      </c>
      <c r="AY20" s="70">
        <v>0.02</v>
      </c>
      <c r="AZ20" s="70">
        <v>0.02</v>
      </c>
      <c r="BA20" s="70">
        <v>0.02</v>
      </c>
      <c r="BB20" s="70">
        <v>0.02</v>
      </c>
      <c r="BC20" s="70">
        <v>0.02</v>
      </c>
      <c r="BD20" s="70">
        <v>0.02</v>
      </c>
      <c r="BE20" s="70">
        <v>0.02</v>
      </c>
      <c r="BF20" s="71">
        <v>0.02</v>
      </c>
    </row>
    <row r="21" spans="3:58" ht="13.5" customHeight="1">
      <c r="C21" s="4" t="s">
        <v>10</v>
      </c>
      <c r="D21" s="2">
        <v>9</v>
      </c>
      <c r="E21" s="26">
        <v>49</v>
      </c>
      <c r="F21" s="27">
        <v>49</v>
      </c>
      <c r="G21" s="27">
        <v>49</v>
      </c>
      <c r="H21" s="27">
        <v>51</v>
      </c>
      <c r="I21" s="27">
        <v>53</v>
      </c>
      <c r="J21" s="28">
        <v>53</v>
      </c>
      <c r="M21" s="4" t="s">
        <v>19</v>
      </c>
      <c r="N21" s="2" t="s">
        <v>1</v>
      </c>
      <c r="O21" s="2">
        <v>15</v>
      </c>
      <c r="P21" s="38">
        <v>55.818</v>
      </c>
      <c r="Q21" s="39">
        <v>46.861</v>
      </c>
      <c r="R21" s="39">
        <v>38.963</v>
      </c>
      <c r="S21" s="39">
        <v>54.318</v>
      </c>
      <c r="T21" s="39">
        <v>133.98</v>
      </c>
      <c r="U21" s="40">
        <v>16.743</v>
      </c>
      <c r="W21" s="2"/>
      <c r="X21" s="4" t="s">
        <v>23</v>
      </c>
      <c r="Y21" s="2" t="s">
        <v>1</v>
      </c>
      <c r="Z21" s="2">
        <v>15</v>
      </c>
      <c r="AA21" s="38">
        <v>65.307</v>
      </c>
      <c r="AB21" s="39">
        <v>46.861</v>
      </c>
      <c r="AC21" s="39">
        <v>38.963</v>
      </c>
      <c r="AD21" s="39">
        <v>54.318</v>
      </c>
      <c r="AE21" s="39">
        <v>133.98</v>
      </c>
      <c r="AF21" s="40">
        <v>16.743</v>
      </c>
      <c r="AH21" s="2">
        <v>16</v>
      </c>
      <c r="AI21" s="69">
        <v>0.03</v>
      </c>
      <c r="AJ21" s="70">
        <v>0.03</v>
      </c>
      <c r="AK21" s="70">
        <v>0.03</v>
      </c>
      <c r="AL21" s="70">
        <v>0.03</v>
      </c>
      <c r="AM21" s="70">
        <v>0.03</v>
      </c>
      <c r="AN21" s="70">
        <v>0.04</v>
      </c>
      <c r="AO21" s="70">
        <v>0.04</v>
      </c>
      <c r="AP21" s="70">
        <v>0.04</v>
      </c>
      <c r="AQ21" s="70">
        <v>0.04</v>
      </c>
      <c r="AR21" s="70">
        <v>0.04</v>
      </c>
      <c r="AS21" s="71">
        <v>0.04</v>
      </c>
      <c r="AU21" s="2">
        <v>16</v>
      </c>
      <c r="AV21" s="69">
        <v>0.03</v>
      </c>
      <c r="AW21" s="70">
        <v>0.03</v>
      </c>
      <c r="AX21" s="70">
        <v>0.03</v>
      </c>
      <c r="AY21" s="70">
        <v>0.03</v>
      </c>
      <c r="AZ21" s="70">
        <v>0.03</v>
      </c>
      <c r="BA21" s="70">
        <v>0.03</v>
      </c>
      <c r="BB21" s="70">
        <v>0.03</v>
      </c>
      <c r="BC21" s="70">
        <v>0.03</v>
      </c>
      <c r="BD21" s="70">
        <v>0.03</v>
      </c>
      <c r="BE21" s="70">
        <v>0.02</v>
      </c>
      <c r="BF21" s="71">
        <v>0.02</v>
      </c>
    </row>
    <row r="22" spans="3:58" ht="13.5" customHeight="1">
      <c r="C22" s="4" t="s">
        <v>11</v>
      </c>
      <c r="D22" s="2">
        <v>10</v>
      </c>
      <c r="E22" s="26">
        <v>55</v>
      </c>
      <c r="F22" s="27">
        <v>57</v>
      </c>
      <c r="G22" s="27">
        <v>57</v>
      </c>
      <c r="H22" s="27">
        <v>57</v>
      </c>
      <c r="I22" s="27">
        <v>59</v>
      </c>
      <c r="J22" s="28">
        <v>59</v>
      </c>
      <c r="K22" s="3"/>
      <c r="N22" s="4" t="s">
        <v>2</v>
      </c>
      <c r="O22" s="2">
        <v>16</v>
      </c>
      <c r="P22" s="38">
        <v>0.511</v>
      </c>
      <c r="Q22" s="39">
        <v>0.3921</v>
      </c>
      <c r="R22" s="39">
        <v>0.4066</v>
      </c>
      <c r="S22" s="39">
        <v>0.413</v>
      </c>
      <c r="T22" s="39">
        <v>0.0981</v>
      </c>
      <c r="U22" s="40">
        <v>0.3891</v>
      </c>
      <c r="W22" s="2"/>
      <c r="X22" s="2"/>
      <c r="Y22" s="4" t="s">
        <v>2</v>
      </c>
      <c r="Z22" s="2">
        <v>16</v>
      </c>
      <c r="AA22" s="38">
        <v>0.511</v>
      </c>
      <c r="AB22" s="39">
        <v>0.3921</v>
      </c>
      <c r="AC22" s="39">
        <v>0.4066</v>
      </c>
      <c r="AD22" s="39">
        <v>0.413</v>
      </c>
      <c r="AE22" s="39">
        <v>0.0981</v>
      </c>
      <c r="AF22" s="40">
        <v>0.3891</v>
      </c>
      <c r="AH22" s="2">
        <v>17</v>
      </c>
      <c r="AI22" s="69">
        <v>0.02</v>
      </c>
      <c r="AJ22" s="70">
        <v>0.02</v>
      </c>
      <c r="AK22" s="70">
        <v>0.02</v>
      </c>
      <c r="AL22" s="70">
        <v>0.02</v>
      </c>
      <c r="AM22" s="70">
        <v>0.02</v>
      </c>
      <c r="AN22" s="70">
        <v>0.02</v>
      </c>
      <c r="AO22" s="70">
        <v>0.03</v>
      </c>
      <c r="AP22" s="70">
        <v>0.03</v>
      </c>
      <c r="AQ22" s="70">
        <v>0.03</v>
      </c>
      <c r="AR22" s="70">
        <v>0.03</v>
      </c>
      <c r="AS22" s="71">
        <v>0.03</v>
      </c>
      <c r="AU22" s="2">
        <v>17</v>
      </c>
      <c r="AV22" s="69">
        <v>0.04</v>
      </c>
      <c r="AW22" s="70">
        <v>0.03</v>
      </c>
      <c r="AX22" s="70">
        <v>0.03</v>
      </c>
      <c r="AY22" s="70">
        <v>0.03</v>
      </c>
      <c r="AZ22" s="70">
        <v>0.03</v>
      </c>
      <c r="BA22" s="70">
        <v>0.03</v>
      </c>
      <c r="BB22" s="70">
        <v>0.03</v>
      </c>
      <c r="BC22" s="70">
        <v>0.03</v>
      </c>
      <c r="BD22" s="70">
        <v>0.03</v>
      </c>
      <c r="BE22" s="70">
        <v>0.03</v>
      </c>
      <c r="BF22" s="71">
        <v>0.03</v>
      </c>
    </row>
    <row r="23" spans="3:58" ht="13.5" customHeight="1">
      <c r="C23" s="4" t="s">
        <v>12</v>
      </c>
      <c r="D23" s="2">
        <v>11</v>
      </c>
      <c r="E23" s="26">
        <v>61</v>
      </c>
      <c r="F23" s="27">
        <v>61</v>
      </c>
      <c r="G23" s="27">
        <v>63</v>
      </c>
      <c r="H23" s="27">
        <v>63</v>
      </c>
      <c r="I23" s="27">
        <v>65</v>
      </c>
      <c r="J23" s="28">
        <v>65</v>
      </c>
      <c r="M23" s="4" t="s">
        <v>20</v>
      </c>
      <c r="N23" s="2" t="s">
        <v>1</v>
      </c>
      <c r="O23" s="2">
        <v>17</v>
      </c>
      <c r="P23" s="38">
        <v>0.31564</v>
      </c>
      <c r="Q23" s="39">
        <v>0.068016</v>
      </c>
      <c r="R23" s="39">
        <v>0.067022</v>
      </c>
      <c r="S23" s="39">
        <v>0.10067</v>
      </c>
      <c r="T23" s="39">
        <v>0.0032442</v>
      </c>
      <c r="U23" s="40">
        <v>0.023458</v>
      </c>
      <c r="W23" s="2"/>
      <c r="X23" s="4" t="s">
        <v>20</v>
      </c>
      <c r="Y23" s="2" t="s">
        <v>1</v>
      </c>
      <c r="Z23" s="2">
        <v>17</v>
      </c>
      <c r="AA23" s="38">
        <v>0.3693</v>
      </c>
      <c r="AB23" s="39">
        <v>0.068016</v>
      </c>
      <c r="AC23" s="39">
        <v>0.067022</v>
      </c>
      <c r="AD23" s="39">
        <v>0.10067</v>
      </c>
      <c r="AE23" s="39">
        <v>0.0032442</v>
      </c>
      <c r="AF23" s="40">
        <v>0.023458</v>
      </c>
      <c r="AH23" s="2">
        <v>18</v>
      </c>
      <c r="AI23" s="69">
        <v>0.43</v>
      </c>
      <c r="AJ23" s="70">
        <v>0.41</v>
      </c>
      <c r="AK23" s="70">
        <v>0.41</v>
      </c>
      <c r="AL23" s="70">
        <v>0.4</v>
      </c>
      <c r="AM23" s="70">
        <v>0.38</v>
      </c>
      <c r="AN23" s="70">
        <v>0.37</v>
      </c>
      <c r="AO23" s="70">
        <v>0.34</v>
      </c>
      <c r="AP23" s="70">
        <v>0.33</v>
      </c>
      <c r="AQ23" s="70">
        <v>0.32</v>
      </c>
      <c r="AR23" s="70">
        <v>0.3</v>
      </c>
      <c r="AS23" s="71">
        <v>0.29</v>
      </c>
      <c r="AU23" s="2">
        <v>18</v>
      </c>
      <c r="AV23" s="69">
        <v>0.03</v>
      </c>
      <c r="AW23" s="70">
        <v>0.03</v>
      </c>
      <c r="AX23" s="70">
        <v>0.03</v>
      </c>
      <c r="AY23" s="70">
        <v>0.03</v>
      </c>
      <c r="AZ23" s="70">
        <v>0.03</v>
      </c>
      <c r="BA23" s="70">
        <v>0.02</v>
      </c>
      <c r="BB23" s="70">
        <v>0.02</v>
      </c>
      <c r="BC23" s="70">
        <v>0.02</v>
      </c>
      <c r="BD23" s="70">
        <v>0.02</v>
      </c>
      <c r="BE23" s="70">
        <v>0.02</v>
      </c>
      <c r="BF23" s="71">
        <v>0.02</v>
      </c>
    </row>
    <row r="24" spans="1:58" ht="13.5" customHeight="1">
      <c r="A24" s="3"/>
      <c r="C24" s="4" t="s">
        <v>13</v>
      </c>
      <c r="D24" s="2">
        <v>12</v>
      </c>
      <c r="E24" s="26">
        <v>67</v>
      </c>
      <c r="F24" s="27">
        <v>69</v>
      </c>
      <c r="G24" s="27">
        <v>69</v>
      </c>
      <c r="H24" s="27">
        <v>69</v>
      </c>
      <c r="I24" s="27">
        <v>71</v>
      </c>
      <c r="J24" s="28">
        <v>71</v>
      </c>
      <c r="N24" s="4" t="s">
        <v>2</v>
      </c>
      <c r="O24" s="2">
        <v>18</v>
      </c>
      <c r="P24" s="38">
        <v>3020.6</v>
      </c>
      <c r="Q24" s="39">
        <v>1054.5</v>
      </c>
      <c r="R24" s="39">
        <v>978.14</v>
      </c>
      <c r="S24" s="39">
        <v>1430.8</v>
      </c>
      <c r="T24" s="39">
        <v>298.26</v>
      </c>
      <c r="U24" s="40">
        <v>368.3</v>
      </c>
      <c r="W24" s="2"/>
      <c r="X24" s="2"/>
      <c r="Y24" s="4" t="s">
        <v>2</v>
      </c>
      <c r="Z24" s="2">
        <v>18</v>
      </c>
      <c r="AA24" s="38">
        <v>3534</v>
      </c>
      <c r="AB24" s="39">
        <v>1054.5</v>
      </c>
      <c r="AC24" s="39">
        <v>978.14</v>
      </c>
      <c r="AD24" s="39">
        <v>1430.8</v>
      </c>
      <c r="AE24" s="39">
        <v>298.26</v>
      </c>
      <c r="AF24" s="40">
        <v>368.3</v>
      </c>
      <c r="AH24" s="2">
        <v>19</v>
      </c>
      <c r="AI24" s="69">
        <v>0.05</v>
      </c>
      <c r="AJ24" s="70">
        <v>0.05</v>
      </c>
      <c r="AK24" s="70">
        <v>0.05</v>
      </c>
      <c r="AL24" s="70">
        <v>0.05</v>
      </c>
      <c r="AM24" s="70">
        <v>0.05</v>
      </c>
      <c r="AN24" s="70">
        <v>0.05</v>
      </c>
      <c r="AO24" s="70">
        <v>0.04</v>
      </c>
      <c r="AP24" s="70">
        <v>0.04</v>
      </c>
      <c r="AQ24" s="70">
        <v>0.04</v>
      </c>
      <c r="AR24" s="70">
        <v>0.04</v>
      </c>
      <c r="AS24" s="71">
        <v>0.04</v>
      </c>
      <c r="AU24" s="2">
        <v>19</v>
      </c>
      <c r="AV24" s="69">
        <v>0.02</v>
      </c>
      <c r="AW24" s="70">
        <v>0.02</v>
      </c>
      <c r="AX24" s="70">
        <v>0.02</v>
      </c>
      <c r="AY24" s="70">
        <v>0.02</v>
      </c>
      <c r="AZ24" s="70">
        <v>0.02</v>
      </c>
      <c r="BA24" s="70">
        <v>0.02</v>
      </c>
      <c r="BB24" s="70">
        <v>0.01</v>
      </c>
      <c r="BC24" s="70">
        <v>0.01</v>
      </c>
      <c r="BD24" s="70">
        <v>0.01</v>
      </c>
      <c r="BE24" s="70">
        <v>0.01</v>
      </c>
      <c r="BF24" s="71">
        <v>0.01</v>
      </c>
    </row>
    <row r="25" spans="2:58" ht="13.5" customHeight="1">
      <c r="B25" s="4" t="s">
        <v>3</v>
      </c>
      <c r="C25" s="2" t="s">
        <v>0</v>
      </c>
      <c r="D25" s="2">
        <v>13</v>
      </c>
      <c r="E25" s="26">
        <v>1</v>
      </c>
      <c r="F25" s="27">
        <v>1</v>
      </c>
      <c r="G25" s="27">
        <v>1</v>
      </c>
      <c r="H25" s="27">
        <v>3</v>
      </c>
      <c r="I25" s="27">
        <v>3</v>
      </c>
      <c r="J25" s="28">
        <v>5</v>
      </c>
      <c r="L25" s="4" t="s">
        <v>6</v>
      </c>
      <c r="M25" s="2" t="s">
        <v>30</v>
      </c>
      <c r="N25" s="2" t="s">
        <v>1</v>
      </c>
      <c r="O25" s="2">
        <v>19</v>
      </c>
      <c r="P25" s="38">
        <v>2.0329</v>
      </c>
      <c r="Q25" s="39">
        <v>0.86646</v>
      </c>
      <c r="R25" s="39">
        <v>0.63859</v>
      </c>
      <c r="S25" s="39">
        <v>0.87156</v>
      </c>
      <c r="T25" s="39">
        <v>0.26766</v>
      </c>
      <c r="U25" s="40">
        <v>0.11734</v>
      </c>
      <c r="W25" s="4" t="s">
        <v>6</v>
      </c>
      <c r="X25" s="2" t="s">
        <v>30</v>
      </c>
      <c r="Y25" s="2" t="s">
        <v>1</v>
      </c>
      <c r="Z25" s="2">
        <v>19</v>
      </c>
      <c r="AA25" s="38">
        <v>3.9889</v>
      </c>
      <c r="AB25" s="39">
        <v>0.86646</v>
      </c>
      <c r="AC25" s="39">
        <v>0.63859</v>
      </c>
      <c r="AD25" s="39">
        <v>1.736</v>
      </c>
      <c r="AE25" s="39">
        <v>0.26766</v>
      </c>
      <c r="AF25" s="40">
        <v>0.11734</v>
      </c>
      <c r="AH25" s="2">
        <v>20</v>
      </c>
      <c r="AI25" s="69">
        <v>0.04</v>
      </c>
      <c r="AJ25" s="70">
        <v>0.04</v>
      </c>
      <c r="AK25" s="70">
        <v>0.04</v>
      </c>
      <c r="AL25" s="70">
        <v>0.04</v>
      </c>
      <c r="AM25" s="70">
        <v>0.04</v>
      </c>
      <c r="AN25" s="70">
        <v>0.04</v>
      </c>
      <c r="AO25" s="70">
        <v>0.04</v>
      </c>
      <c r="AP25" s="70">
        <v>0.04</v>
      </c>
      <c r="AQ25" s="70">
        <v>0.04</v>
      </c>
      <c r="AR25" s="70">
        <v>0.04</v>
      </c>
      <c r="AS25" s="71">
        <v>0.04</v>
      </c>
      <c r="AU25" s="2">
        <v>20</v>
      </c>
      <c r="AV25" s="315">
        <v>0.003</v>
      </c>
      <c r="AW25" s="316">
        <v>0.004</v>
      </c>
      <c r="AX25" s="316">
        <v>0.004</v>
      </c>
      <c r="AY25" s="316">
        <v>0.005</v>
      </c>
      <c r="AZ25" s="316">
        <v>0.005</v>
      </c>
      <c r="BA25" s="316">
        <v>0.006</v>
      </c>
      <c r="BB25" s="316">
        <v>0.007</v>
      </c>
      <c r="BC25" s="316">
        <v>0.007</v>
      </c>
      <c r="BD25" s="316">
        <v>0.008</v>
      </c>
      <c r="BE25" s="316">
        <v>0.009</v>
      </c>
      <c r="BF25" s="317">
        <v>0.009</v>
      </c>
    </row>
    <row r="26" spans="2:58" ht="13.5" customHeight="1">
      <c r="B26" s="2"/>
      <c r="C26" s="4" t="s">
        <v>4</v>
      </c>
      <c r="D26" s="2">
        <v>14</v>
      </c>
      <c r="E26" s="26">
        <v>7</v>
      </c>
      <c r="F26" s="27">
        <v>7</v>
      </c>
      <c r="G26" s="27">
        <v>7</v>
      </c>
      <c r="H26" s="27">
        <v>9</v>
      </c>
      <c r="I26" s="27">
        <v>9</v>
      </c>
      <c r="J26" s="28">
        <v>11</v>
      </c>
      <c r="N26" s="4" t="s">
        <v>2</v>
      </c>
      <c r="O26" s="2">
        <v>20</v>
      </c>
      <c r="P26" s="38">
        <v>24</v>
      </c>
      <c r="Q26" s="39">
        <v>24</v>
      </c>
      <c r="R26" s="39">
        <v>24</v>
      </c>
      <c r="S26" s="39">
        <v>24</v>
      </c>
      <c r="T26" s="39">
        <v>24</v>
      </c>
      <c r="U26" s="40">
        <v>24</v>
      </c>
      <c r="W26" s="2"/>
      <c r="X26" s="2"/>
      <c r="Y26" s="4" t="s">
        <v>2</v>
      </c>
      <c r="Z26" s="2">
        <v>20</v>
      </c>
      <c r="AA26" s="38">
        <v>24</v>
      </c>
      <c r="AB26" s="39">
        <v>24</v>
      </c>
      <c r="AC26" s="39">
        <v>24</v>
      </c>
      <c r="AD26" s="39">
        <v>24</v>
      </c>
      <c r="AE26" s="39">
        <v>24</v>
      </c>
      <c r="AF26" s="40">
        <v>24</v>
      </c>
      <c r="AH26" s="2">
        <v>21</v>
      </c>
      <c r="AI26" s="69">
        <v>0.05</v>
      </c>
      <c r="AJ26" s="70">
        <v>0.04</v>
      </c>
      <c r="AK26" s="70">
        <v>0.04</v>
      </c>
      <c r="AL26" s="70">
        <v>0.03</v>
      </c>
      <c r="AM26" s="70">
        <v>0.03</v>
      </c>
      <c r="AN26" s="70">
        <v>0.03</v>
      </c>
      <c r="AO26" s="70">
        <v>0.03</v>
      </c>
      <c r="AP26" s="70">
        <v>0.02</v>
      </c>
      <c r="AQ26" s="70">
        <v>0.02</v>
      </c>
      <c r="AR26" s="70">
        <v>0.02</v>
      </c>
      <c r="AS26" s="71">
        <v>0.02</v>
      </c>
      <c r="AU26" s="2">
        <v>21</v>
      </c>
      <c r="AV26" s="318">
        <v>0.005</v>
      </c>
      <c r="AW26" s="319">
        <v>0.005</v>
      </c>
      <c r="AX26" s="319">
        <v>0.005</v>
      </c>
      <c r="AY26" s="319">
        <v>0.006</v>
      </c>
      <c r="AZ26" s="319">
        <v>0.006</v>
      </c>
      <c r="BA26" s="319">
        <v>0.007</v>
      </c>
      <c r="BB26" s="319">
        <v>0.007</v>
      </c>
      <c r="BC26" s="319">
        <v>0.008</v>
      </c>
      <c r="BD26" s="319">
        <v>0.008</v>
      </c>
      <c r="BE26" s="319">
        <v>0.009</v>
      </c>
      <c r="BF26" s="320">
        <v>0.009</v>
      </c>
    </row>
    <row r="27" spans="3:45" ht="13.5" customHeight="1">
      <c r="C27" s="4" t="s">
        <v>5</v>
      </c>
      <c r="D27" s="2">
        <v>15</v>
      </c>
      <c r="E27" s="26">
        <v>13</v>
      </c>
      <c r="F27" s="27">
        <v>13</v>
      </c>
      <c r="G27" s="27">
        <v>13</v>
      </c>
      <c r="H27" s="27">
        <v>15</v>
      </c>
      <c r="I27" s="27">
        <v>17</v>
      </c>
      <c r="J27" s="28">
        <v>17</v>
      </c>
      <c r="M27" s="4" t="s">
        <v>19</v>
      </c>
      <c r="N27" s="2" t="s">
        <v>1</v>
      </c>
      <c r="O27" s="2">
        <v>21</v>
      </c>
      <c r="P27" s="38">
        <v>70.036</v>
      </c>
      <c r="Q27" s="39">
        <v>21.041</v>
      </c>
      <c r="R27" s="39">
        <v>5.9955</v>
      </c>
      <c r="S27" s="39">
        <v>74.988</v>
      </c>
      <c r="T27" s="39">
        <v>26.356</v>
      </c>
      <c r="U27" s="40">
        <v>0.69605</v>
      </c>
      <c r="W27" s="2"/>
      <c r="X27" s="4" t="s">
        <v>31</v>
      </c>
      <c r="Y27" s="2" t="s">
        <v>1</v>
      </c>
      <c r="Z27" s="2">
        <v>21</v>
      </c>
      <c r="AA27" s="38">
        <v>135.87</v>
      </c>
      <c r="AB27" s="39">
        <v>21.041</v>
      </c>
      <c r="AC27" s="39">
        <v>5.9955</v>
      </c>
      <c r="AD27" s="39">
        <v>145.48</v>
      </c>
      <c r="AE27" s="39">
        <v>26.356</v>
      </c>
      <c r="AF27" s="40">
        <v>0.69605</v>
      </c>
      <c r="AH27" s="2">
        <v>22</v>
      </c>
      <c r="AI27" s="69">
        <v>0.01</v>
      </c>
      <c r="AJ27" s="70">
        <v>0.02</v>
      </c>
      <c r="AK27" s="70">
        <v>0.02</v>
      </c>
      <c r="AL27" s="70">
        <v>0.02</v>
      </c>
      <c r="AM27" s="70">
        <v>0.02</v>
      </c>
      <c r="AN27" s="70">
        <v>0.02</v>
      </c>
      <c r="AO27" s="70">
        <v>0.03</v>
      </c>
      <c r="AP27" s="70">
        <v>0.03</v>
      </c>
      <c r="AQ27" s="70">
        <v>0.03</v>
      </c>
      <c r="AR27" s="70">
        <v>0.03</v>
      </c>
      <c r="AS27" s="71">
        <v>0.03</v>
      </c>
    </row>
    <row r="28" spans="3:58" ht="13.5" customHeight="1">
      <c r="C28" s="4" t="s">
        <v>6</v>
      </c>
      <c r="D28" s="2">
        <v>16</v>
      </c>
      <c r="E28" s="26">
        <v>19</v>
      </c>
      <c r="F28" s="27">
        <v>19</v>
      </c>
      <c r="G28" s="27">
        <v>21</v>
      </c>
      <c r="H28" s="27">
        <v>21</v>
      </c>
      <c r="I28" s="27">
        <v>21</v>
      </c>
      <c r="J28" s="28">
        <v>23</v>
      </c>
      <c r="K28" s="3"/>
      <c r="N28" s="4" t="s">
        <v>2</v>
      </c>
      <c r="O28" s="2">
        <v>22</v>
      </c>
      <c r="P28" s="38">
        <v>0.4342</v>
      </c>
      <c r="Q28" s="39">
        <v>0.4954</v>
      </c>
      <c r="R28" s="39">
        <v>0.6513</v>
      </c>
      <c r="S28" s="39">
        <v>0.2918</v>
      </c>
      <c r="T28" s="39">
        <v>0.288</v>
      </c>
      <c r="U28" s="40">
        <v>0.7687</v>
      </c>
      <c r="W28" s="2"/>
      <c r="X28" s="2"/>
      <c r="Y28" s="4" t="s">
        <v>2</v>
      </c>
      <c r="Z28" s="2">
        <v>22</v>
      </c>
      <c r="AA28" s="38">
        <v>0.4342</v>
      </c>
      <c r="AB28" s="39">
        <v>0.4954</v>
      </c>
      <c r="AC28" s="39">
        <v>0.6513</v>
      </c>
      <c r="AD28" s="39">
        <v>0.2918</v>
      </c>
      <c r="AE28" s="39">
        <v>0.288</v>
      </c>
      <c r="AF28" s="40">
        <v>0.7687</v>
      </c>
      <c r="AH28" s="2">
        <v>23</v>
      </c>
      <c r="AI28" s="72">
        <v>0.01</v>
      </c>
      <c r="AJ28" s="73">
        <v>0.01</v>
      </c>
      <c r="AK28" s="73">
        <v>0.01</v>
      </c>
      <c r="AL28" s="73">
        <v>0.02</v>
      </c>
      <c r="AM28" s="73">
        <v>0.02</v>
      </c>
      <c r="AN28" s="73">
        <v>0.02</v>
      </c>
      <c r="AO28" s="73">
        <v>0.03</v>
      </c>
      <c r="AP28" s="73">
        <v>0.04</v>
      </c>
      <c r="AQ28" s="73">
        <v>0.05</v>
      </c>
      <c r="AR28" s="73">
        <v>0.06</v>
      </c>
      <c r="AS28" s="74">
        <v>0.07</v>
      </c>
      <c r="AV28" s="64">
        <f>SUM(AV6:AV24)</f>
        <v>1.0000000000000002</v>
      </c>
      <c r="AW28" s="64">
        <f aca="true" t="shared" si="0" ref="AW28:BF28">SUM(AW6:AW24)</f>
        <v>1.0000000000000002</v>
      </c>
      <c r="AX28" s="64">
        <f t="shared" si="0"/>
        <v>1.0000000000000002</v>
      </c>
      <c r="AY28" s="64">
        <f t="shared" si="0"/>
        <v>1.0000000000000004</v>
      </c>
      <c r="AZ28" s="64">
        <f t="shared" si="0"/>
        <v>1.0000000000000004</v>
      </c>
      <c r="BA28" s="64">
        <f t="shared" si="0"/>
        <v>1.0000000000000004</v>
      </c>
      <c r="BB28" s="64">
        <f t="shared" si="0"/>
        <v>1.0000000000000002</v>
      </c>
      <c r="BC28" s="64">
        <f t="shared" si="0"/>
        <v>1.0000000000000002</v>
      </c>
      <c r="BD28" s="64">
        <f t="shared" si="0"/>
        <v>1.0000000000000002</v>
      </c>
      <c r="BE28" s="64">
        <f t="shared" si="0"/>
        <v>1.0000000000000002</v>
      </c>
      <c r="BF28" s="64">
        <f t="shared" si="0"/>
        <v>1</v>
      </c>
    </row>
    <row r="29" spans="3:45" ht="13.5" customHeight="1">
      <c r="C29" s="4" t="s">
        <v>21</v>
      </c>
      <c r="D29" s="2">
        <v>17</v>
      </c>
      <c r="E29" s="26">
        <v>25</v>
      </c>
      <c r="F29" s="27">
        <v>27</v>
      </c>
      <c r="G29" s="27">
        <v>27</v>
      </c>
      <c r="H29" s="27">
        <v>27</v>
      </c>
      <c r="I29" s="27">
        <v>27</v>
      </c>
      <c r="J29" s="28">
        <v>29</v>
      </c>
      <c r="M29" s="4" t="s">
        <v>20</v>
      </c>
      <c r="N29" s="2" t="s">
        <v>1</v>
      </c>
      <c r="O29" s="2">
        <v>23</v>
      </c>
      <c r="P29" s="38">
        <v>0.16589</v>
      </c>
      <c r="Q29" s="39">
        <v>0.099913</v>
      </c>
      <c r="R29" s="39">
        <v>0.15733</v>
      </c>
      <c r="S29" s="39">
        <v>0.032157</v>
      </c>
      <c r="T29" s="39">
        <v>0.010771</v>
      </c>
      <c r="U29" s="40">
        <v>0.063562</v>
      </c>
      <c r="W29" s="2"/>
      <c r="X29" s="2" t="s">
        <v>33</v>
      </c>
      <c r="Y29" s="2" t="s">
        <v>1</v>
      </c>
      <c r="Z29" s="2">
        <v>23</v>
      </c>
      <c r="AA29" s="38">
        <v>0.21742</v>
      </c>
      <c r="AB29" s="39">
        <v>0.070424</v>
      </c>
      <c r="AC29" s="39">
        <v>0.12355</v>
      </c>
      <c r="AD29" s="39">
        <v>0.038186</v>
      </c>
      <c r="AE29" s="39">
        <v>0.00657556</v>
      </c>
      <c r="AF29" s="40">
        <v>0.054146</v>
      </c>
      <c r="AI29" s="65"/>
      <c r="AJ29" s="65"/>
      <c r="AK29" s="65"/>
      <c r="AL29" s="65"/>
      <c r="AM29" s="65"/>
      <c r="AN29" s="65"/>
      <c r="AO29" s="65"/>
      <c r="AP29" s="65"/>
      <c r="AQ29" s="65"/>
      <c r="AR29" s="65"/>
      <c r="AS29" s="65"/>
    </row>
    <row r="30" spans="3:45" ht="13.5" customHeight="1">
      <c r="C30" s="4" t="s">
        <v>7</v>
      </c>
      <c r="D30" s="2">
        <v>18</v>
      </c>
      <c r="E30" s="26">
        <v>31</v>
      </c>
      <c r="F30" s="27">
        <v>31</v>
      </c>
      <c r="G30" s="27">
        <v>31</v>
      </c>
      <c r="H30" s="27">
        <v>33</v>
      </c>
      <c r="I30" s="27">
        <v>33</v>
      </c>
      <c r="J30" s="28">
        <v>35</v>
      </c>
      <c r="N30" s="4" t="s">
        <v>2</v>
      </c>
      <c r="O30" s="2">
        <v>24</v>
      </c>
      <c r="P30" s="38">
        <v>2161.6</v>
      </c>
      <c r="Q30" s="39">
        <v>1017.7</v>
      </c>
      <c r="R30" s="39">
        <v>842.3</v>
      </c>
      <c r="S30" s="39">
        <v>780.46</v>
      </c>
      <c r="T30" s="39">
        <v>266.3</v>
      </c>
      <c r="U30" s="40">
        <v>191.26</v>
      </c>
      <c r="W30" s="2"/>
      <c r="X30" s="2"/>
      <c r="Y30" s="4" t="s">
        <v>2</v>
      </c>
      <c r="Z30" s="2">
        <v>24</v>
      </c>
      <c r="AA30" s="38">
        <v>5666.1</v>
      </c>
      <c r="AB30" s="39">
        <v>1434.6</v>
      </c>
      <c r="AC30" s="39">
        <v>1322.9</v>
      </c>
      <c r="AD30" s="39">
        <v>1853.5</v>
      </c>
      <c r="AE30" s="39">
        <v>325.13</v>
      </c>
      <c r="AF30" s="40">
        <v>325.86</v>
      </c>
      <c r="AI30" s="65">
        <f aca="true" t="shared" si="1" ref="AI30:AS30">SUM(AI6:AI28)</f>
        <v>1.0000000000000002</v>
      </c>
      <c r="AJ30" s="65">
        <f t="shared" si="1"/>
        <v>1.0000000000000002</v>
      </c>
      <c r="AK30" s="65">
        <f t="shared" si="1"/>
        <v>1.0000000000000002</v>
      </c>
      <c r="AL30" s="65">
        <f t="shared" si="1"/>
        <v>1.0000000000000002</v>
      </c>
      <c r="AM30" s="65">
        <f t="shared" si="1"/>
        <v>1.0000000000000002</v>
      </c>
      <c r="AN30" s="65">
        <f t="shared" si="1"/>
        <v>1</v>
      </c>
      <c r="AO30" s="65">
        <f t="shared" si="1"/>
        <v>1.0000000000000002</v>
      </c>
      <c r="AP30" s="65">
        <f t="shared" si="1"/>
        <v>1.0000000000000002</v>
      </c>
      <c r="AQ30" s="65">
        <f t="shared" si="1"/>
        <v>1.0000000000000002</v>
      </c>
      <c r="AR30" s="65">
        <f t="shared" si="1"/>
        <v>1.0000000000000002</v>
      </c>
      <c r="AS30" s="65">
        <f t="shared" si="1"/>
        <v>1.0000000000000002</v>
      </c>
    </row>
    <row r="31" spans="3:32" ht="13.5" customHeight="1">
      <c r="C31" s="4" t="s">
        <v>9</v>
      </c>
      <c r="D31" s="2">
        <v>19</v>
      </c>
      <c r="E31" s="26">
        <v>37</v>
      </c>
      <c r="F31" s="27">
        <v>37</v>
      </c>
      <c r="G31" s="27">
        <v>37</v>
      </c>
      <c r="H31" s="27">
        <v>39</v>
      </c>
      <c r="I31" s="27">
        <v>39</v>
      </c>
      <c r="J31" s="28">
        <v>41</v>
      </c>
      <c r="L31" s="4" t="s">
        <v>21</v>
      </c>
      <c r="M31" s="4" t="s">
        <v>24</v>
      </c>
      <c r="N31" s="2" t="s">
        <v>1</v>
      </c>
      <c r="O31" s="2">
        <v>25</v>
      </c>
      <c r="P31" s="38">
        <v>2.9666</v>
      </c>
      <c r="Q31" s="39">
        <v>0.93741</v>
      </c>
      <c r="R31" s="39">
        <v>0.85686</v>
      </c>
      <c r="S31" s="39">
        <v>1.9777</v>
      </c>
      <c r="T31" s="39">
        <v>0.30224</v>
      </c>
      <c r="U31" s="40">
        <v>0.2832</v>
      </c>
      <c r="W31" s="4" t="s">
        <v>21</v>
      </c>
      <c r="X31" s="4" t="s">
        <v>24</v>
      </c>
      <c r="Y31" s="2" t="s">
        <v>1</v>
      </c>
      <c r="Z31" s="2">
        <v>25</v>
      </c>
      <c r="AA31" s="38">
        <v>3.8502</v>
      </c>
      <c r="AB31" s="39">
        <v>0.93741</v>
      </c>
      <c r="AC31" s="39">
        <v>0.85686</v>
      </c>
      <c r="AD31" s="39">
        <v>3.953</v>
      </c>
      <c r="AE31" s="39">
        <v>0.30224</v>
      </c>
      <c r="AF31" s="40">
        <v>0.2832</v>
      </c>
    </row>
    <row r="32" spans="3:32" ht="13.5" customHeight="1">
      <c r="C32" s="4" t="s">
        <v>10</v>
      </c>
      <c r="D32" s="2">
        <v>20</v>
      </c>
      <c r="E32" s="26">
        <v>43</v>
      </c>
      <c r="F32" s="27">
        <v>43</v>
      </c>
      <c r="G32" s="27">
        <v>43</v>
      </c>
      <c r="H32" s="27">
        <v>45</v>
      </c>
      <c r="I32" s="29">
        <v>45</v>
      </c>
      <c r="J32" s="30">
        <v>47</v>
      </c>
      <c r="N32" s="4" t="s">
        <v>2</v>
      </c>
      <c r="O32" s="2">
        <v>26</v>
      </c>
      <c r="P32" s="38">
        <v>24</v>
      </c>
      <c r="Q32" s="39">
        <v>24</v>
      </c>
      <c r="R32" s="39">
        <v>24</v>
      </c>
      <c r="S32" s="39">
        <v>24</v>
      </c>
      <c r="T32" s="39">
        <v>24</v>
      </c>
      <c r="U32" s="40">
        <v>24</v>
      </c>
      <c r="W32" s="2"/>
      <c r="X32" s="2"/>
      <c r="Y32" s="4" t="s">
        <v>2</v>
      </c>
      <c r="Z32" s="2">
        <v>26</v>
      </c>
      <c r="AA32" s="38">
        <v>24</v>
      </c>
      <c r="AB32" s="39">
        <v>24</v>
      </c>
      <c r="AC32" s="39">
        <v>24</v>
      </c>
      <c r="AD32" s="39">
        <v>24</v>
      </c>
      <c r="AE32" s="39">
        <v>24</v>
      </c>
      <c r="AF32" s="40">
        <v>24</v>
      </c>
    </row>
    <row r="33" spans="3:32" ht="13.5" customHeight="1">
      <c r="C33" s="4" t="s">
        <v>11</v>
      </c>
      <c r="D33" s="2">
        <v>21</v>
      </c>
      <c r="E33" s="26">
        <v>49</v>
      </c>
      <c r="F33" s="27">
        <v>49</v>
      </c>
      <c r="G33" s="27">
        <v>49</v>
      </c>
      <c r="H33" s="27">
        <v>51</v>
      </c>
      <c r="I33" s="27">
        <v>51</v>
      </c>
      <c r="J33" s="28">
        <v>53</v>
      </c>
      <c r="M33" s="4" t="s">
        <v>25</v>
      </c>
      <c r="N33" s="2" t="s">
        <v>1</v>
      </c>
      <c r="O33" s="2">
        <v>27</v>
      </c>
      <c r="P33" s="38">
        <v>140.83</v>
      </c>
      <c r="Q33" s="39">
        <v>24.644</v>
      </c>
      <c r="R33" s="39">
        <v>30.268</v>
      </c>
      <c r="S33" s="39">
        <v>281.93</v>
      </c>
      <c r="T33" s="39">
        <v>20.859</v>
      </c>
      <c r="U33" s="40">
        <v>13.956</v>
      </c>
      <c r="W33" s="2"/>
      <c r="X33" s="4" t="s">
        <v>26</v>
      </c>
      <c r="Y33" s="2" t="s">
        <v>1</v>
      </c>
      <c r="Z33" s="2">
        <v>27</v>
      </c>
      <c r="AA33" s="38">
        <v>181.67</v>
      </c>
      <c r="AB33" s="39">
        <v>24.644</v>
      </c>
      <c r="AC33" s="39">
        <v>30.268</v>
      </c>
      <c r="AD33" s="39">
        <v>552.58</v>
      </c>
      <c r="AE33" s="39">
        <v>20.859</v>
      </c>
      <c r="AF33" s="40">
        <v>13.956</v>
      </c>
    </row>
    <row r="34" spans="3:45" ht="13.5" customHeight="1">
      <c r="C34" s="4" t="s">
        <v>12</v>
      </c>
      <c r="D34" s="2">
        <v>22</v>
      </c>
      <c r="E34" s="31">
        <v>55</v>
      </c>
      <c r="F34" s="29">
        <v>55</v>
      </c>
      <c r="G34" s="29">
        <v>57</v>
      </c>
      <c r="H34" s="29">
        <v>57</v>
      </c>
      <c r="I34" s="27">
        <v>59</v>
      </c>
      <c r="J34" s="28">
        <v>59</v>
      </c>
      <c r="K34" s="3"/>
      <c r="N34" s="4" t="s">
        <v>2</v>
      </c>
      <c r="O34" s="2">
        <v>28</v>
      </c>
      <c r="P34" s="38">
        <v>0.3279</v>
      </c>
      <c r="Q34" s="39">
        <v>0.4412</v>
      </c>
      <c r="R34" s="39">
        <v>0.3907</v>
      </c>
      <c r="S34" s="39">
        <v>0.1374</v>
      </c>
      <c r="T34" s="39">
        <v>0.2988</v>
      </c>
      <c r="U34" s="40">
        <v>0.3603</v>
      </c>
      <c r="W34" s="2"/>
      <c r="X34" s="2"/>
      <c r="Y34" s="4" t="s">
        <v>2</v>
      </c>
      <c r="Z34" s="2">
        <v>28</v>
      </c>
      <c r="AA34" s="38">
        <v>0.3279</v>
      </c>
      <c r="AB34" s="39">
        <v>0.4412</v>
      </c>
      <c r="AC34" s="39">
        <v>0.3907</v>
      </c>
      <c r="AD34" s="39">
        <v>0.1374</v>
      </c>
      <c r="AE34" s="39">
        <v>0.2988</v>
      </c>
      <c r="AF34" s="40">
        <v>0.3603</v>
      </c>
      <c r="AI34" s="64"/>
      <c r="AJ34" s="64"/>
      <c r="AK34" s="64"/>
      <c r="AL34" s="64"/>
      <c r="AM34" s="64"/>
      <c r="AN34" s="64"/>
      <c r="AO34" s="64"/>
      <c r="AP34" s="64"/>
      <c r="AQ34" s="64"/>
      <c r="AR34" s="64"/>
      <c r="AS34" s="64"/>
    </row>
    <row r="35" spans="3:32" ht="13.5" customHeight="1">
      <c r="C35" s="4" t="s">
        <v>13</v>
      </c>
      <c r="D35" s="2">
        <v>23</v>
      </c>
      <c r="E35" s="32">
        <v>61</v>
      </c>
      <c r="F35" s="33">
        <v>61</v>
      </c>
      <c r="G35" s="33">
        <v>63</v>
      </c>
      <c r="H35" s="33">
        <v>63</v>
      </c>
      <c r="I35" s="33">
        <v>63</v>
      </c>
      <c r="J35" s="34">
        <v>65</v>
      </c>
      <c r="M35" s="4" t="s">
        <v>20</v>
      </c>
      <c r="N35" s="2" t="s">
        <v>1</v>
      </c>
      <c r="O35" s="2">
        <v>29</v>
      </c>
      <c r="P35" s="38">
        <v>0.094632</v>
      </c>
      <c r="Q35" s="39">
        <v>0.063263</v>
      </c>
      <c r="R35" s="39">
        <v>0.043214</v>
      </c>
      <c r="S35" s="39">
        <v>0.013732</v>
      </c>
      <c r="T35" s="39">
        <v>0.0097695</v>
      </c>
      <c r="U35" s="40">
        <v>0.013888</v>
      </c>
      <c r="W35" s="2"/>
      <c r="X35" s="2" t="s">
        <v>33</v>
      </c>
      <c r="Y35" s="2" t="s">
        <v>1</v>
      </c>
      <c r="Z35" s="2">
        <v>29</v>
      </c>
      <c r="AA35" s="38">
        <v>0.076613</v>
      </c>
      <c r="AB35" s="39">
        <v>0.042947</v>
      </c>
      <c r="AC35" s="39">
        <v>0.028328</v>
      </c>
      <c r="AD35" s="39">
        <v>0.014802</v>
      </c>
      <c r="AE35" s="39">
        <v>0.0060089</v>
      </c>
      <c r="AF35" s="40">
        <v>0.0089137</v>
      </c>
    </row>
    <row r="36" spans="14:32" ht="13.5" customHeight="1">
      <c r="N36" s="4" t="s">
        <v>2</v>
      </c>
      <c r="O36" s="2">
        <v>30</v>
      </c>
      <c r="P36" s="38">
        <v>1939.7</v>
      </c>
      <c r="Q36" s="39">
        <v>801.24</v>
      </c>
      <c r="R36" s="39">
        <v>673.93</v>
      </c>
      <c r="S36" s="39">
        <v>862.08</v>
      </c>
      <c r="T36" s="39">
        <v>229.26</v>
      </c>
      <c r="U36" s="40">
        <v>246.56</v>
      </c>
      <c r="W36" s="2"/>
      <c r="X36" s="2"/>
      <c r="Y36" s="4" t="s">
        <v>2</v>
      </c>
      <c r="Z36" s="2">
        <v>30</v>
      </c>
      <c r="AA36" s="38">
        <v>3140.7</v>
      </c>
      <c r="AB36" s="39">
        <v>1087.9</v>
      </c>
      <c r="AC36" s="39">
        <v>883.53</v>
      </c>
      <c r="AD36" s="39">
        <v>1858.5</v>
      </c>
      <c r="AE36" s="39">
        <v>282.02</v>
      </c>
      <c r="AF36" s="40">
        <v>316.52</v>
      </c>
    </row>
    <row r="37" spans="5:32" ht="13.5" customHeight="1">
      <c r="E37" s="2">
        <v>300</v>
      </c>
      <c r="F37" s="2">
        <v>500</v>
      </c>
      <c r="G37" s="2">
        <v>1000</v>
      </c>
      <c r="H37" s="2">
        <v>10000</v>
      </c>
      <c r="I37" s="1">
        <v>20000</v>
      </c>
      <c r="J37" s="1">
        <v>20001</v>
      </c>
      <c r="L37" s="4" t="s">
        <v>7</v>
      </c>
      <c r="M37" s="2" t="s">
        <v>30</v>
      </c>
      <c r="N37" s="2" t="s">
        <v>1</v>
      </c>
      <c r="O37" s="2">
        <v>31</v>
      </c>
      <c r="P37" s="38">
        <v>2.1014</v>
      </c>
      <c r="Q37" s="39">
        <v>0.97124</v>
      </c>
      <c r="R37" s="39">
        <v>0.64999</v>
      </c>
      <c r="S37" s="39">
        <v>1.0925</v>
      </c>
      <c r="T37" s="39">
        <v>0.26473</v>
      </c>
      <c r="U37" s="40">
        <v>0.25329</v>
      </c>
      <c r="W37" s="4" t="s">
        <v>7</v>
      </c>
      <c r="X37" s="4" t="s">
        <v>22</v>
      </c>
      <c r="Y37" s="2" t="s">
        <v>1</v>
      </c>
      <c r="Z37" s="2">
        <v>31</v>
      </c>
      <c r="AA37" s="38">
        <v>2.3642</v>
      </c>
      <c r="AB37" s="39">
        <v>0.70946</v>
      </c>
      <c r="AC37" s="39">
        <v>0.48962</v>
      </c>
      <c r="AD37" s="39">
        <v>1.0678</v>
      </c>
      <c r="AE37" s="39">
        <v>0.21289</v>
      </c>
      <c r="AF37" s="40">
        <v>0.17947</v>
      </c>
    </row>
    <row r="38" spans="2:32" ht="13.5" customHeight="1">
      <c r="B38" s="2"/>
      <c r="C38" s="2"/>
      <c r="D38" s="2"/>
      <c r="E38" s="1">
        <v>1</v>
      </c>
      <c r="F38" s="1">
        <v>2</v>
      </c>
      <c r="G38" s="1">
        <v>3</v>
      </c>
      <c r="H38" s="1">
        <v>4</v>
      </c>
      <c r="I38" s="1">
        <v>5</v>
      </c>
      <c r="J38" s="1">
        <v>6</v>
      </c>
      <c r="N38" s="4" t="s">
        <v>2</v>
      </c>
      <c r="O38" s="2">
        <v>32</v>
      </c>
      <c r="P38" s="38">
        <v>24</v>
      </c>
      <c r="Q38" s="39">
        <v>24</v>
      </c>
      <c r="R38" s="39">
        <v>24</v>
      </c>
      <c r="S38" s="39">
        <v>24</v>
      </c>
      <c r="T38" s="39">
        <v>24</v>
      </c>
      <c r="U38" s="40">
        <v>24</v>
      </c>
      <c r="W38" s="2"/>
      <c r="X38" s="2"/>
      <c r="Y38" s="4" t="s">
        <v>2</v>
      </c>
      <c r="Z38" s="2">
        <v>32</v>
      </c>
      <c r="AA38" s="38">
        <v>24</v>
      </c>
      <c r="AB38" s="39">
        <v>24</v>
      </c>
      <c r="AC38" s="39">
        <v>24</v>
      </c>
      <c r="AD38" s="39">
        <v>24</v>
      </c>
      <c r="AE38" s="39">
        <v>24</v>
      </c>
      <c r="AF38" s="40">
        <v>24</v>
      </c>
    </row>
    <row r="39" spans="2:32" ht="13.5" customHeight="1">
      <c r="B39" s="2" t="s">
        <v>28</v>
      </c>
      <c r="C39" s="2" t="s">
        <v>0</v>
      </c>
      <c r="D39" s="2">
        <v>1</v>
      </c>
      <c r="E39" s="23">
        <v>0</v>
      </c>
      <c r="F39" s="24">
        <v>0</v>
      </c>
      <c r="G39" s="24">
        <v>1</v>
      </c>
      <c r="H39" s="24">
        <v>1</v>
      </c>
      <c r="I39" s="24">
        <v>1</v>
      </c>
      <c r="J39" s="25">
        <v>0</v>
      </c>
      <c r="M39" s="4" t="s">
        <v>19</v>
      </c>
      <c r="N39" s="2" t="s">
        <v>1</v>
      </c>
      <c r="O39" s="2">
        <v>33</v>
      </c>
      <c r="P39" s="38">
        <v>40.11</v>
      </c>
      <c r="Q39" s="39">
        <v>19.475</v>
      </c>
      <c r="R39" s="39">
        <v>10.918</v>
      </c>
      <c r="S39" s="39">
        <v>34.429</v>
      </c>
      <c r="T39" s="39">
        <v>3.7726</v>
      </c>
      <c r="U39" s="40">
        <v>10.172</v>
      </c>
      <c r="W39" s="2"/>
      <c r="X39" s="4" t="s">
        <v>32</v>
      </c>
      <c r="Y39" s="2" t="s">
        <v>1</v>
      </c>
      <c r="Z39" s="2">
        <v>33</v>
      </c>
      <c r="AA39" s="38">
        <v>61.769</v>
      </c>
      <c r="AB39" s="39">
        <v>19.475</v>
      </c>
      <c r="AC39" s="39">
        <v>10.918</v>
      </c>
      <c r="AD39" s="39">
        <v>48.2</v>
      </c>
      <c r="AE39" s="39">
        <v>3.7726</v>
      </c>
      <c r="AF39" s="40">
        <v>10.172</v>
      </c>
    </row>
    <row r="40" spans="2:32" ht="13.5" customHeight="1">
      <c r="B40" s="2"/>
      <c r="C40" s="4" t="s">
        <v>4</v>
      </c>
      <c r="D40" s="2">
        <v>2</v>
      </c>
      <c r="E40" s="26">
        <v>0</v>
      </c>
      <c r="F40" s="27">
        <v>0</v>
      </c>
      <c r="G40" s="27">
        <v>1</v>
      </c>
      <c r="H40" s="27">
        <v>1</v>
      </c>
      <c r="I40" s="27">
        <v>1</v>
      </c>
      <c r="J40" s="28">
        <v>0</v>
      </c>
      <c r="N40" s="4" t="s">
        <v>2</v>
      </c>
      <c r="O40" s="2">
        <v>34</v>
      </c>
      <c r="P40" s="38">
        <v>0.5291</v>
      </c>
      <c r="Q40" s="39">
        <v>0.5253</v>
      </c>
      <c r="R40" s="39">
        <v>0.5575</v>
      </c>
      <c r="S40" s="39">
        <v>0.4517</v>
      </c>
      <c r="T40" s="39">
        <v>0.5993</v>
      </c>
      <c r="U40" s="40">
        <v>0.4337</v>
      </c>
      <c r="W40" s="2"/>
      <c r="X40" s="2"/>
      <c r="Y40" s="4" t="s">
        <v>2</v>
      </c>
      <c r="Z40" s="2">
        <v>34</v>
      </c>
      <c r="AA40" s="38">
        <v>0.5291</v>
      </c>
      <c r="AB40" s="39">
        <v>0.5253</v>
      </c>
      <c r="AC40" s="39">
        <v>0.5575</v>
      </c>
      <c r="AD40" s="39">
        <v>0.4517</v>
      </c>
      <c r="AE40" s="39">
        <v>0.5993</v>
      </c>
      <c r="AF40" s="40">
        <v>0.4337</v>
      </c>
    </row>
    <row r="41" spans="3:32" ht="13.5" customHeight="1">
      <c r="C41" s="4" t="s">
        <v>5</v>
      </c>
      <c r="D41" s="2">
        <v>3</v>
      </c>
      <c r="E41" s="26">
        <v>0</v>
      </c>
      <c r="F41" s="27">
        <v>0</v>
      </c>
      <c r="G41" s="27">
        <v>1</v>
      </c>
      <c r="H41" s="27">
        <v>1</v>
      </c>
      <c r="I41" s="27">
        <v>0</v>
      </c>
      <c r="J41" s="28">
        <v>0</v>
      </c>
      <c r="M41" s="4" t="s">
        <v>20</v>
      </c>
      <c r="N41" s="2" t="s">
        <v>1</v>
      </c>
      <c r="O41" s="2">
        <v>35</v>
      </c>
      <c r="P41" s="38">
        <v>0.27745</v>
      </c>
      <c r="Q41" s="39">
        <v>0.12915</v>
      </c>
      <c r="R41" s="39">
        <v>0.10337</v>
      </c>
      <c r="S41" s="39">
        <v>0.099672</v>
      </c>
      <c r="T41" s="39">
        <v>0.056427</v>
      </c>
      <c r="U41" s="40">
        <v>0.023955</v>
      </c>
      <c r="W41" s="2"/>
      <c r="X41" s="2" t="s">
        <v>33</v>
      </c>
      <c r="Y41" s="2" t="s">
        <v>1</v>
      </c>
      <c r="Z41" s="2">
        <v>35</v>
      </c>
      <c r="AA41" s="38">
        <v>0.30829</v>
      </c>
      <c r="AB41" s="39">
        <v>0.092936</v>
      </c>
      <c r="AC41" s="39">
        <v>0.076065</v>
      </c>
      <c r="AD41" s="39">
        <v>0.095421</v>
      </c>
      <c r="AE41" s="39">
        <v>0.042743</v>
      </c>
      <c r="AF41" s="40">
        <v>0.016178</v>
      </c>
    </row>
    <row r="42" spans="3:32" ht="13.5" customHeight="1">
      <c r="C42" s="4" t="s">
        <v>6</v>
      </c>
      <c r="D42" s="2">
        <v>4</v>
      </c>
      <c r="E42" s="26">
        <v>0</v>
      </c>
      <c r="F42" s="27">
        <v>0</v>
      </c>
      <c r="G42" s="27">
        <v>1</v>
      </c>
      <c r="H42" s="27">
        <v>1</v>
      </c>
      <c r="I42" s="27">
        <v>0</v>
      </c>
      <c r="J42" s="28">
        <v>0</v>
      </c>
      <c r="N42" s="4" t="s">
        <v>2</v>
      </c>
      <c r="O42" s="2">
        <v>36</v>
      </c>
      <c r="P42" s="38">
        <v>2469.4</v>
      </c>
      <c r="Q42" s="39">
        <v>1167</v>
      </c>
      <c r="R42" s="39">
        <v>820.44</v>
      </c>
      <c r="S42" s="39">
        <v>1209.9</v>
      </c>
      <c r="T42" s="39">
        <v>377.27</v>
      </c>
      <c r="U42" s="40">
        <v>312.79</v>
      </c>
      <c r="W42" s="2"/>
      <c r="X42" s="2"/>
      <c r="Y42" s="4" t="s">
        <v>2</v>
      </c>
      <c r="Z42" s="2">
        <v>36</v>
      </c>
      <c r="AA42" s="38">
        <v>5487.4</v>
      </c>
      <c r="AB42" s="39">
        <v>1679.7</v>
      </c>
      <c r="AC42" s="39">
        <v>1207.5</v>
      </c>
      <c r="AD42" s="39">
        <v>2316.5</v>
      </c>
      <c r="AE42" s="39">
        <v>571.56</v>
      </c>
      <c r="AF42" s="40">
        <v>422.48</v>
      </c>
    </row>
    <row r="43" spans="3:32" ht="13.5" customHeight="1">
      <c r="C43" s="4" t="s">
        <v>21</v>
      </c>
      <c r="D43" s="2">
        <v>5</v>
      </c>
      <c r="E43" s="26">
        <v>0</v>
      </c>
      <c r="F43" s="27">
        <v>1</v>
      </c>
      <c r="G43" s="27">
        <v>1</v>
      </c>
      <c r="H43" s="27">
        <v>1</v>
      </c>
      <c r="I43" s="27">
        <v>0</v>
      </c>
      <c r="J43" s="28">
        <v>0</v>
      </c>
      <c r="L43" s="4" t="s">
        <v>8</v>
      </c>
      <c r="M43" s="2" t="s">
        <v>30</v>
      </c>
      <c r="N43" s="2" t="s">
        <v>1</v>
      </c>
      <c r="O43" s="2">
        <v>37</v>
      </c>
      <c r="P43" s="38">
        <v>2.17</v>
      </c>
      <c r="Q43" s="39">
        <v>0.74245</v>
      </c>
      <c r="R43" s="39">
        <v>0.79318</v>
      </c>
      <c r="S43" s="39">
        <v>0.90637</v>
      </c>
      <c r="T43" s="39">
        <v>0.18477</v>
      </c>
      <c r="U43" s="40">
        <v>0.29608</v>
      </c>
      <c r="W43" s="4" t="s">
        <v>9</v>
      </c>
      <c r="X43" s="4" t="s">
        <v>22</v>
      </c>
      <c r="Y43" s="2" t="s">
        <v>1</v>
      </c>
      <c r="Z43" s="2">
        <v>37</v>
      </c>
      <c r="AA43" s="38">
        <v>2.6464</v>
      </c>
      <c r="AB43" s="39">
        <v>0.52807</v>
      </c>
      <c r="AC43" s="39">
        <v>0.44617</v>
      </c>
      <c r="AD43" s="39">
        <v>1.2712</v>
      </c>
      <c r="AE43" s="39">
        <v>0.19497</v>
      </c>
      <c r="AF43" s="40">
        <v>0.17254</v>
      </c>
    </row>
    <row r="44" spans="3:32" ht="13.5" customHeight="1">
      <c r="C44" s="4" t="s">
        <v>7</v>
      </c>
      <c r="D44" s="2">
        <v>6</v>
      </c>
      <c r="E44" s="26">
        <v>0</v>
      </c>
      <c r="F44" s="27">
        <v>0</v>
      </c>
      <c r="G44" s="27">
        <v>1</v>
      </c>
      <c r="H44" s="27">
        <v>1</v>
      </c>
      <c r="I44" s="27">
        <v>0</v>
      </c>
      <c r="J44" s="28">
        <v>0</v>
      </c>
      <c r="N44" s="4" t="s">
        <v>2</v>
      </c>
      <c r="O44" s="2">
        <v>38</v>
      </c>
      <c r="P44" s="38">
        <v>24</v>
      </c>
      <c r="Q44" s="39">
        <v>24</v>
      </c>
      <c r="R44" s="39">
        <v>24</v>
      </c>
      <c r="S44" s="39">
        <v>24</v>
      </c>
      <c r="T44" s="39">
        <v>24</v>
      </c>
      <c r="U44" s="40">
        <v>24</v>
      </c>
      <c r="W44" s="2"/>
      <c r="X44" s="2"/>
      <c r="Y44" s="4" t="s">
        <v>2</v>
      </c>
      <c r="Z44" s="2">
        <v>38</v>
      </c>
      <c r="AA44" s="38">
        <v>24</v>
      </c>
      <c r="AB44" s="39">
        <v>24</v>
      </c>
      <c r="AC44" s="39">
        <v>24</v>
      </c>
      <c r="AD44" s="39">
        <v>24</v>
      </c>
      <c r="AE44" s="39">
        <v>24</v>
      </c>
      <c r="AF44" s="40">
        <v>24</v>
      </c>
    </row>
    <row r="45" spans="3:32" ht="13.5" customHeight="1">
      <c r="C45" s="4" t="s">
        <v>8</v>
      </c>
      <c r="D45" s="2">
        <v>7</v>
      </c>
      <c r="E45" s="26">
        <v>0</v>
      </c>
      <c r="F45" s="27">
        <v>0</v>
      </c>
      <c r="G45" s="27">
        <v>1</v>
      </c>
      <c r="H45" s="27">
        <v>1</v>
      </c>
      <c r="I45" s="27">
        <v>1</v>
      </c>
      <c r="J45" s="28">
        <v>0</v>
      </c>
      <c r="M45" s="4" t="s">
        <v>31</v>
      </c>
      <c r="N45" s="2" t="s">
        <v>1</v>
      </c>
      <c r="O45" s="2">
        <v>39</v>
      </c>
      <c r="P45" s="38">
        <v>16.716</v>
      </c>
      <c r="Q45" s="39">
        <v>6.0055</v>
      </c>
      <c r="R45" s="39">
        <v>6.6337</v>
      </c>
      <c r="S45" s="39">
        <v>4.5694</v>
      </c>
      <c r="T45" s="39">
        <v>0.7395</v>
      </c>
      <c r="U45" s="40">
        <v>1.623</v>
      </c>
      <c r="W45" s="2"/>
      <c r="X45" s="4" t="s">
        <v>32</v>
      </c>
      <c r="Y45" s="2" t="s">
        <v>1</v>
      </c>
      <c r="Z45" s="2">
        <v>39</v>
      </c>
      <c r="AA45" s="38">
        <v>271.94</v>
      </c>
      <c r="AB45" s="39">
        <v>11.089</v>
      </c>
      <c r="AC45" s="39">
        <v>1.8589</v>
      </c>
      <c r="AD45" s="39">
        <v>177.27</v>
      </c>
      <c r="AE45" s="39">
        <v>11.053</v>
      </c>
      <c r="AF45" s="40">
        <v>10.185</v>
      </c>
    </row>
    <row r="46" spans="3:32" ht="13.5" customHeight="1">
      <c r="C46" s="4" t="s">
        <v>9</v>
      </c>
      <c r="D46" s="2">
        <v>8</v>
      </c>
      <c r="E46" s="26">
        <v>0</v>
      </c>
      <c r="F46" s="27">
        <v>0</v>
      </c>
      <c r="G46" s="27">
        <v>0</v>
      </c>
      <c r="H46" s="27">
        <v>1</v>
      </c>
      <c r="I46" s="27">
        <v>1</v>
      </c>
      <c r="J46" s="28">
        <v>0</v>
      </c>
      <c r="N46" s="4" t="s">
        <v>2</v>
      </c>
      <c r="O46" s="2">
        <v>40</v>
      </c>
      <c r="P46" s="38">
        <v>0.675</v>
      </c>
      <c r="Q46" s="39">
        <v>0.6737</v>
      </c>
      <c r="R46" s="39">
        <v>0.6677</v>
      </c>
      <c r="S46" s="39">
        <v>0.748</v>
      </c>
      <c r="T46" s="39">
        <v>0.814</v>
      </c>
      <c r="U46" s="40">
        <v>0.7504</v>
      </c>
      <c r="W46" s="2"/>
      <c r="X46" s="2"/>
      <c r="Y46" s="4" t="s">
        <v>2</v>
      </c>
      <c r="Z46" s="2">
        <v>40</v>
      </c>
      <c r="AA46" s="38">
        <v>0.3307</v>
      </c>
      <c r="AB46" s="39">
        <v>0.5657</v>
      </c>
      <c r="AC46" s="39">
        <v>0.801</v>
      </c>
      <c r="AD46" s="39">
        <v>0.2879</v>
      </c>
      <c r="AE46" s="39">
        <v>0.4323</v>
      </c>
      <c r="AF46" s="40">
        <v>0.4285</v>
      </c>
    </row>
    <row r="47" spans="3:32" ht="13.5" customHeight="1">
      <c r="C47" s="4" t="s">
        <v>10</v>
      </c>
      <c r="D47" s="2">
        <v>9</v>
      </c>
      <c r="E47" s="26">
        <v>0</v>
      </c>
      <c r="F47" s="27">
        <v>0</v>
      </c>
      <c r="G47" s="27">
        <v>0</v>
      </c>
      <c r="H47" s="27">
        <v>1</v>
      </c>
      <c r="I47" s="27">
        <v>0</v>
      </c>
      <c r="J47" s="28">
        <v>0</v>
      </c>
      <c r="M47" s="2" t="s">
        <v>33</v>
      </c>
      <c r="N47" s="2" t="s">
        <v>1</v>
      </c>
      <c r="O47" s="2">
        <v>41</v>
      </c>
      <c r="P47" s="38">
        <v>0.45144</v>
      </c>
      <c r="Q47" s="39">
        <v>0.1598</v>
      </c>
      <c r="R47" s="39">
        <v>0.16486</v>
      </c>
      <c r="S47" s="39">
        <v>0.28177</v>
      </c>
      <c r="T47" s="39">
        <v>0.095405</v>
      </c>
      <c r="U47" s="40">
        <v>0.10282</v>
      </c>
      <c r="W47" s="2"/>
      <c r="X47" s="2" t="s">
        <v>33</v>
      </c>
      <c r="Y47" s="2" t="s">
        <v>1</v>
      </c>
      <c r="Z47" s="2">
        <v>41</v>
      </c>
      <c r="AA47" s="38">
        <v>0.11891</v>
      </c>
      <c r="AB47" s="39">
        <v>0.085024</v>
      </c>
      <c r="AC47" s="39">
        <v>0.20748</v>
      </c>
      <c r="AD47" s="39">
        <v>0.044169</v>
      </c>
      <c r="AE47" s="39">
        <v>0.017281</v>
      </c>
      <c r="AF47" s="40">
        <v>0.015201</v>
      </c>
    </row>
    <row r="48" spans="3:32" ht="13.5" customHeight="1">
      <c r="C48" s="4" t="s">
        <v>11</v>
      </c>
      <c r="D48" s="2">
        <v>10</v>
      </c>
      <c r="E48" s="26">
        <v>0</v>
      </c>
      <c r="F48" s="27">
        <v>1</v>
      </c>
      <c r="G48" s="27">
        <v>1</v>
      </c>
      <c r="H48" s="27">
        <v>1</v>
      </c>
      <c r="I48" s="27">
        <v>0</v>
      </c>
      <c r="J48" s="28">
        <v>0</v>
      </c>
      <c r="N48" s="4" t="s">
        <v>2</v>
      </c>
      <c r="O48" s="2">
        <v>42</v>
      </c>
      <c r="P48" s="38">
        <v>4347.2</v>
      </c>
      <c r="Q48" s="39">
        <v>1548.1</v>
      </c>
      <c r="R48" s="39">
        <v>1640.8</v>
      </c>
      <c r="S48" s="39">
        <v>1898.7</v>
      </c>
      <c r="T48" s="39">
        <v>436</v>
      </c>
      <c r="U48" s="40">
        <v>683.98</v>
      </c>
      <c r="W48" s="2"/>
      <c r="X48" s="2"/>
      <c r="Y48" s="4" t="s">
        <v>2</v>
      </c>
      <c r="Z48" s="2">
        <v>42</v>
      </c>
      <c r="AA48" s="38">
        <v>4813.4</v>
      </c>
      <c r="AB48" s="39">
        <v>1305.5</v>
      </c>
      <c r="AC48" s="39">
        <v>1031</v>
      </c>
      <c r="AD48" s="39">
        <v>2184.9</v>
      </c>
      <c r="AE48" s="39">
        <v>453.87</v>
      </c>
      <c r="AF48" s="40">
        <v>405.48</v>
      </c>
    </row>
    <row r="49" spans="3:32" ht="13.5" customHeight="1">
      <c r="C49" s="4" t="s">
        <v>12</v>
      </c>
      <c r="D49" s="2">
        <v>11</v>
      </c>
      <c r="E49" s="26">
        <v>0</v>
      </c>
      <c r="F49" s="27">
        <v>0</v>
      </c>
      <c r="G49" s="27">
        <v>1</v>
      </c>
      <c r="H49" s="27">
        <v>1</v>
      </c>
      <c r="I49" s="27">
        <v>0</v>
      </c>
      <c r="J49" s="28">
        <v>0</v>
      </c>
      <c r="L49" s="4" t="s">
        <v>9</v>
      </c>
      <c r="M49" s="4" t="s">
        <v>22</v>
      </c>
      <c r="N49" s="2" t="s">
        <v>1</v>
      </c>
      <c r="O49" s="2">
        <v>43</v>
      </c>
      <c r="P49" s="38">
        <v>2.4259</v>
      </c>
      <c r="Q49" s="39">
        <v>0.52807</v>
      </c>
      <c r="R49" s="39">
        <v>0.44617</v>
      </c>
      <c r="S49" s="39">
        <v>0.76574</v>
      </c>
      <c r="T49" s="39">
        <v>0.19497</v>
      </c>
      <c r="U49" s="40">
        <v>0.17254</v>
      </c>
      <c r="W49" s="4" t="s">
        <v>10</v>
      </c>
      <c r="X49" s="4" t="s">
        <v>22</v>
      </c>
      <c r="Y49" s="2" t="s">
        <v>1</v>
      </c>
      <c r="Z49" s="2">
        <v>43</v>
      </c>
      <c r="AA49" s="38">
        <v>3.1937</v>
      </c>
      <c r="AB49" s="39">
        <v>0.96893</v>
      </c>
      <c r="AC49" s="39">
        <v>0.66399</v>
      </c>
      <c r="AD49" s="39">
        <v>1.9828</v>
      </c>
      <c r="AE49" s="39">
        <v>0.18536</v>
      </c>
      <c r="AF49" s="40">
        <v>0.19052</v>
      </c>
    </row>
    <row r="50" spans="3:32" ht="13.5" customHeight="1">
      <c r="C50" s="4" t="s">
        <v>13</v>
      </c>
      <c r="D50" s="2">
        <v>12</v>
      </c>
      <c r="E50" s="26">
        <v>0</v>
      </c>
      <c r="F50" s="27">
        <v>1</v>
      </c>
      <c r="G50" s="27">
        <v>1</v>
      </c>
      <c r="H50" s="27">
        <v>1</v>
      </c>
      <c r="I50" s="27">
        <v>0</v>
      </c>
      <c r="J50" s="28">
        <v>0</v>
      </c>
      <c r="N50" s="4" t="s">
        <v>2</v>
      </c>
      <c r="O50" s="2">
        <v>44</v>
      </c>
      <c r="P50" s="38">
        <v>24</v>
      </c>
      <c r="Q50" s="39">
        <v>24</v>
      </c>
      <c r="R50" s="39">
        <v>24</v>
      </c>
      <c r="S50" s="39">
        <v>24</v>
      </c>
      <c r="T50" s="39">
        <v>24</v>
      </c>
      <c r="U50" s="40">
        <v>24</v>
      </c>
      <c r="W50" s="2"/>
      <c r="X50" s="2"/>
      <c r="Y50" s="4" t="s">
        <v>2</v>
      </c>
      <c r="Z50" s="2">
        <v>44</v>
      </c>
      <c r="AA50" s="38">
        <v>24</v>
      </c>
      <c r="AB50" s="39">
        <v>24</v>
      </c>
      <c r="AC50" s="39">
        <v>24</v>
      </c>
      <c r="AD50" s="39">
        <v>24</v>
      </c>
      <c r="AE50" s="39">
        <v>24</v>
      </c>
      <c r="AF50" s="40">
        <v>24</v>
      </c>
    </row>
    <row r="51" spans="2:32" ht="13.5" customHeight="1">
      <c r="B51" s="4" t="s">
        <v>3</v>
      </c>
      <c r="C51" s="2" t="s">
        <v>0</v>
      </c>
      <c r="D51" s="2">
        <v>13</v>
      </c>
      <c r="E51" s="26">
        <v>0</v>
      </c>
      <c r="F51" s="27">
        <v>0</v>
      </c>
      <c r="G51" s="27">
        <v>0</v>
      </c>
      <c r="H51" s="27">
        <v>1</v>
      </c>
      <c r="I51" s="27">
        <v>1</v>
      </c>
      <c r="J51" s="28">
        <v>0</v>
      </c>
      <c r="M51" s="4" t="s">
        <v>32</v>
      </c>
      <c r="N51" s="2" t="s">
        <v>1</v>
      </c>
      <c r="O51" s="2">
        <v>45</v>
      </c>
      <c r="P51" s="38">
        <v>249.49</v>
      </c>
      <c r="Q51" s="39">
        <v>11.089</v>
      </c>
      <c r="R51" s="39">
        <v>1.8589</v>
      </c>
      <c r="S51" s="39">
        <v>108.09</v>
      </c>
      <c r="T51" s="39">
        <v>11.053</v>
      </c>
      <c r="U51" s="40">
        <v>10.185</v>
      </c>
      <c r="W51" s="2"/>
      <c r="X51" s="4" t="s">
        <v>32</v>
      </c>
      <c r="Y51" s="2" t="s">
        <v>1</v>
      </c>
      <c r="Z51" s="2">
        <v>45</v>
      </c>
      <c r="AA51" s="38">
        <v>76.603</v>
      </c>
      <c r="AB51" s="39">
        <v>98.496</v>
      </c>
      <c r="AC51" s="39">
        <v>18.167</v>
      </c>
      <c r="AD51" s="39">
        <v>274.1</v>
      </c>
      <c r="AE51" s="39">
        <v>4.8049</v>
      </c>
      <c r="AF51" s="40">
        <v>8.7172</v>
      </c>
    </row>
    <row r="52" spans="2:32" ht="13.5" customHeight="1">
      <c r="B52" s="2"/>
      <c r="C52" s="4" t="s">
        <v>4</v>
      </c>
      <c r="D52" s="2">
        <v>14</v>
      </c>
      <c r="E52" s="26">
        <v>0</v>
      </c>
      <c r="F52" s="27">
        <v>0</v>
      </c>
      <c r="G52" s="27">
        <v>0</v>
      </c>
      <c r="H52" s="27">
        <v>1</v>
      </c>
      <c r="I52" s="27">
        <v>1</v>
      </c>
      <c r="J52" s="28">
        <v>0</v>
      </c>
      <c r="N52" s="4" t="s">
        <v>2</v>
      </c>
      <c r="O52" s="2">
        <v>46</v>
      </c>
      <c r="P52" s="38">
        <v>0.3307</v>
      </c>
      <c r="Q52" s="39">
        <v>0.5657</v>
      </c>
      <c r="R52" s="39">
        <v>0.801</v>
      </c>
      <c r="S52" s="39">
        <v>0.2879</v>
      </c>
      <c r="T52" s="39">
        <v>0.4323</v>
      </c>
      <c r="U52" s="40">
        <v>0.4285</v>
      </c>
      <c r="W52" s="2"/>
      <c r="X52" s="2"/>
      <c r="Y52" s="4" t="s">
        <v>2</v>
      </c>
      <c r="Z52" s="2">
        <v>46</v>
      </c>
      <c r="AA52" s="38">
        <v>0.5411</v>
      </c>
      <c r="AB52" s="39">
        <v>0.3345</v>
      </c>
      <c r="AC52" s="39">
        <v>0.5261</v>
      </c>
      <c r="AD52" s="39">
        <v>0.2882</v>
      </c>
      <c r="AE52" s="39">
        <v>0.5464</v>
      </c>
      <c r="AF52" s="40">
        <v>0.4637</v>
      </c>
    </row>
    <row r="53" spans="3:32" ht="13.5" customHeight="1">
      <c r="C53" s="4" t="s">
        <v>5</v>
      </c>
      <c r="D53" s="2">
        <v>15</v>
      </c>
      <c r="E53" s="26">
        <v>0</v>
      </c>
      <c r="F53" s="27">
        <v>0</v>
      </c>
      <c r="G53" s="27">
        <v>0</v>
      </c>
      <c r="H53" s="27">
        <v>1</v>
      </c>
      <c r="I53" s="27">
        <v>0</v>
      </c>
      <c r="J53" s="28">
        <v>0</v>
      </c>
      <c r="M53" s="2" t="s">
        <v>33</v>
      </c>
      <c r="N53" s="2" t="s">
        <v>1</v>
      </c>
      <c r="O53" s="2">
        <v>47</v>
      </c>
      <c r="P53" s="38">
        <v>0.1091</v>
      </c>
      <c r="Q53" s="39">
        <v>0.085024</v>
      </c>
      <c r="R53" s="39">
        <v>0.20748</v>
      </c>
      <c r="S53" s="39">
        <v>0.026932</v>
      </c>
      <c r="T53" s="39">
        <v>0.017281</v>
      </c>
      <c r="U53" s="40">
        <v>0.015201</v>
      </c>
      <c r="W53" s="2"/>
      <c r="X53" s="2" t="s">
        <v>33</v>
      </c>
      <c r="Y53" s="2" t="s">
        <v>1</v>
      </c>
      <c r="Z53" s="2">
        <v>47</v>
      </c>
      <c r="AA53" s="38">
        <v>0.44033</v>
      </c>
      <c r="AB53" s="39">
        <v>0.045235</v>
      </c>
      <c r="AC53" s="39">
        <v>0.087517</v>
      </c>
      <c r="AD53" s="39">
        <v>0.068569</v>
      </c>
      <c r="AE53" s="39">
        <v>0.029393</v>
      </c>
      <c r="AF53" s="40">
        <v>0.019951</v>
      </c>
    </row>
    <row r="54" spans="3:32" ht="13.5" customHeight="1">
      <c r="C54" s="4" t="s">
        <v>6</v>
      </c>
      <c r="D54" s="2">
        <v>16</v>
      </c>
      <c r="E54" s="26">
        <v>0</v>
      </c>
      <c r="F54" s="27">
        <v>0</v>
      </c>
      <c r="G54" s="27">
        <v>1</v>
      </c>
      <c r="H54" s="27">
        <v>1</v>
      </c>
      <c r="I54" s="27">
        <v>1</v>
      </c>
      <c r="J54" s="28">
        <v>0</v>
      </c>
      <c r="N54" s="4" t="s">
        <v>2</v>
      </c>
      <c r="O54" s="2">
        <v>48</v>
      </c>
      <c r="P54" s="38">
        <v>4415.9</v>
      </c>
      <c r="Q54" s="39">
        <v>1305.5</v>
      </c>
      <c r="R54" s="39">
        <v>1031</v>
      </c>
      <c r="S54" s="39">
        <v>1332.3</v>
      </c>
      <c r="T54" s="39">
        <v>453.87</v>
      </c>
      <c r="U54" s="40">
        <v>405.48</v>
      </c>
      <c r="W54" s="2"/>
      <c r="X54" s="2"/>
      <c r="Y54" s="4" t="s">
        <v>2</v>
      </c>
      <c r="Z54" s="2">
        <v>48</v>
      </c>
      <c r="AA54" s="38">
        <v>7468.9</v>
      </c>
      <c r="AB54" s="39">
        <v>1800</v>
      </c>
      <c r="AC54" s="39">
        <v>1576.7</v>
      </c>
      <c r="AD54" s="39">
        <v>3387.1</v>
      </c>
      <c r="AE54" s="39">
        <v>488.03</v>
      </c>
      <c r="AF54" s="40">
        <v>461.51</v>
      </c>
    </row>
    <row r="55" spans="3:32" ht="13.5" customHeight="1">
      <c r="C55" s="4" t="s">
        <v>21</v>
      </c>
      <c r="D55" s="2">
        <v>17</v>
      </c>
      <c r="E55" s="26">
        <v>0</v>
      </c>
      <c r="F55" s="27">
        <v>1</v>
      </c>
      <c r="G55" s="27">
        <v>1</v>
      </c>
      <c r="H55" s="27">
        <v>1</v>
      </c>
      <c r="I55" s="27">
        <v>1</v>
      </c>
      <c r="J55" s="28">
        <v>0</v>
      </c>
      <c r="L55" s="4" t="s">
        <v>10</v>
      </c>
      <c r="M55" s="4" t="s">
        <v>22</v>
      </c>
      <c r="N55" s="2" t="s">
        <v>1</v>
      </c>
      <c r="O55" s="2">
        <v>49</v>
      </c>
      <c r="P55" s="38">
        <v>1.6875</v>
      </c>
      <c r="Q55" s="39">
        <v>0.96893</v>
      </c>
      <c r="R55" s="39">
        <v>0.66399</v>
      </c>
      <c r="S55" s="39">
        <v>0.86007</v>
      </c>
      <c r="T55" s="39">
        <v>0.18536</v>
      </c>
      <c r="U55" s="40">
        <v>0.19052</v>
      </c>
      <c r="W55" s="4" t="s">
        <v>11</v>
      </c>
      <c r="X55" s="4" t="s">
        <v>22</v>
      </c>
      <c r="Y55" s="2" t="s">
        <v>1</v>
      </c>
      <c r="Z55" s="2">
        <v>49</v>
      </c>
      <c r="AA55" s="38">
        <v>2.4619</v>
      </c>
      <c r="AB55" s="39">
        <v>0.66447</v>
      </c>
      <c r="AC55" s="39">
        <v>0.70008</v>
      </c>
      <c r="AD55" s="39">
        <v>0.99149</v>
      </c>
      <c r="AE55" s="39">
        <v>0.13687</v>
      </c>
      <c r="AF55" s="40">
        <v>0.17661</v>
      </c>
    </row>
    <row r="56" spans="3:32" ht="13.5" customHeight="1">
      <c r="C56" s="4" t="s">
        <v>7</v>
      </c>
      <c r="D56" s="2">
        <v>18</v>
      </c>
      <c r="E56" s="26">
        <v>0</v>
      </c>
      <c r="F56" s="27">
        <v>0</v>
      </c>
      <c r="G56" s="27">
        <v>0</v>
      </c>
      <c r="H56" s="27">
        <v>1</v>
      </c>
      <c r="I56" s="27">
        <v>1</v>
      </c>
      <c r="J56" s="28">
        <v>0</v>
      </c>
      <c r="N56" s="4" t="s">
        <v>2</v>
      </c>
      <c r="O56" s="2">
        <v>50</v>
      </c>
      <c r="P56" s="38">
        <v>24</v>
      </c>
      <c r="Q56" s="39">
        <v>24</v>
      </c>
      <c r="R56" s="39">
        <v>24</v>
      </c>
      <c r="S56" s="39">
        <v>24</v>
      </c>
      <c r="T56" s="39">
        <v>24</v>
      </c>
      <c r="U56" s="40">
        <v>24</v>
      </c>
      <c r="W56" s="2"/>
      <c r="X56" s="2"/>
      <c r="Y56" s="4" t="s">
        <v>2</v>
      </c>
      <c r="Z56" s="2">
        <v>50</v>
      </c>
      <c r="AA56" s="38">
        <v>24</v>
      </c>
      <c r="AB56" s="39">
        <v>24</v>
      </c>
      <c r="AC56" s="39">
        <v>24</v>
      </c>
      <c r="AD56" s="39">
        <v>24</v>
      </c>
      <c r="AE56" s="39">
        <v>24</v>
      </c>
      <c r="AF56" s="40">
        <v>24</v>
      </c>
    </row>
    <row r="57" spans="3:32" ht="13.5" customHeight="1">
      <c r="C57" s="4" t="s">
        <v>9</v>
      </c>
      <c r="D57" s="2">
        <v>19</v>
      </c>
      <c r="E57" s="26">
        <v>0</v>
      </c>
      <c r="F57" s="27">
        <v>0</v>
      </c>
      <c r="G57" s="27">
        <v>0</v>
      </c>
      <c r="H57" s="27">
        <v>1</v>
      </c>
      <c r="I57" s="27">
        <v>1</v>
      </c>
      <c r="J57" s="28">
        <v>0</v>
      </c>
      <c r="M57" s="4" t="s">
        <v>23</v>
      </c>
      <c r="N57" s="2" t="s">
        <v>1</v>
      </c>
      <c r="O57" s="2">
        <v>51</v>
      </c>
      <c r="P57" s="38">
        <v>40.746</v>
      </c>
      <c r="Q57" s="39">
        <v>98.496</v>
      </c>
      <c r="R57" s="39">
        <v>18.167</v>
      </c>
      <c r="S57" s="39">
        <v>120.75</v>
      </c>
      <c r="T57" s="39">
        <v>4.8049</v>
      </c>
      <c r="U57" s="40">
        <v>8.7172</v>
      </c>
      <c r="W57" s="2"/>
      <c r="X57" s="4" t="s">
        <v>32</v>
      </c>
      <c r="Y57" s="2" t="s">
        <v>1</v>
      </c>
      <c r="Z57" s="2">
        <v>51</v>
      </c>
      <c r="AA57" s="38">
        <v>59.467</v>
      </c>
      <c r="AB57" s="39">
        <v>20.902</v>
      </c>
      <c r="AC57" s="39">
        <v>8.6156</v>
      </c>
      <c r="AD57" s="39">
        <v>38.777</v>
      </c>
      <c r="AE57" s="39">
        <v>7.4333</v>
      </c>
      <c r="AF57" s="40">
        <v>3.0652</v>
      </c>
    </row>
    <row r="58" spans="3:32" ht="13.5" customHeight="1">
      <c r="C58" s="4" t="s">
        <v>10</v>
      </c>
      <c r="D58" s="2">
        <v>20</v>
      </c>
      <c r="E58" s="26">
        <v>0</v>
      </c>
      <c r="F58" s="27">
        <v>0</v>
      </c>
      <c r="G58" s="27">
        <v>0</v>
      </c>
      <c r="H58" s="27">
        <v>1</v>
      </c>
      <c r="I58" s="29">
        <v>1</v>
      </c>
      <c r="J58" s="30">
        <v>0</v>
      </c>
      <c r="N58" s="4" t="s">
        <v>2</v>
      </c>
      <c r="O58" s="2">
        <v>52</v>
      </c>
      <c r="P58" s="38">
        <v>0.5411</v>
      </c>
      <c r="Q58" s="39">
        <v>0.3345</v>
      </c>
      <c r="R58" s="39">
        <v>0.5261</v>
      </c>
      <c r="S58" s="39">
        <v>0.2882</v>
      </c>
      <c r="T58" s="39">
        <v>0.5464</v>
      </c>
      <c r="U58" s="40">
        <v>0.4637</v>
      </c>
      <c r="W58" s="2"/>
      <c r="X58" s="2"/>
      <c r="Y58" s="4" t="s">
        <v>2</v>
      </c>
      <c r="Z58" s="2">
        <v>52</v>
      </c>
      <c r="AA58" s="38">
        <v>0.5404</v>
      </c>
      <c r="AB58" s="39">
        <v>0.5059</v>
      </c>
      <c r="AC58" s="39">
        <v>0.6415</v>
      </c>
      <c r="AD58" s="39">
        <v>0.4727</v>
      </c>
      <c r="AE58" s="39">
        <v>0.4451</v>
      </c>
      <c r="AF58" s="40">
        <v>0.6053</v>
      </c>
    </row>
    <row r="59" spans="3:32" ht="13.5" customHeight="1">
      <c r="C59" s="4" t="s">
        <v>11</v>
      </c>
      <c r="D59" s="2">
        <v>21</v>
      </c>
      <c r="E59" s="26">
        <v>0</v>
      </c>
      <c r="F59" s="27">
        <v>0</v>
      </c>
      <c r="G59" s="27">
        <v>0</v>
      </c>
      <c r="H59" s="27">
        <v>1</v>
      </c>
      <c r="I59" s="27">
        <v>1</v>
      </c>
      <c r="J59" s="28">
        <v>0</v>
      </c>
      <c r="M59" s="4" t="s">
        <v>20</v>
      </c>
      <c r="N59" s="2" t="s">
        <v>1</v>
      </c>
      <c r="O59" s="2">
        <v>53</v>
      </c>
      <c r="P59" s="38">
        <v>0.32193</v>
      </c>
      <c r="Q59" s="39">
        <v>0.071749</v>
      </c>
      <c r="R59" s="39">
        <v>0.12155</v>
      </c>
      <c r="S59" s="39">
        <v>0.049474</v>
      </c>
      <c r="T59" s="39">
        <v>0.040253</v>
      </c>
      <c r="U59" s="40">
        <v>0.028934</v>
      </c>
      <c r="W59" s="2"/>
      <c r="X59" s="2" t="s">
        <v>33</v>
      </c>
      <c r="Y59" s="2" t="s">
        <v>1</v>
      </c>
      <c r="Z59" s="2">
        <v>53</v>
      </c>
      <c r="AA59" s="38">
        <v>0.33903</v>
      </c>
      <c r="AB59" s="39">
        <v>0.079271</v>
      </c>
      <c r="AC59" s="39">
        <v>0.15869</v>
      </c>
      <c r="AD59" s="39">
        <v>0.098907</v>
      </c>
      <c r="AE59" s="39">
        <v>0.013583</v>
      </c>
      <c r="AF59" s="40">
        <v>0.037223</v>
      </c>
    </row>
    <row r="60" spans="3:32" ht="13.5" customHeight="1">
      <c r="C60" s="4" t="s">
        <v>12</v>
      </c>
      <c r="D60" s="2">
        <v>22</v>
      </c>
      <c r="E60" s="31">
        <v>0</v>
      </c>
      <c r="F60" s="29">
        <v>0</v>
      </c>
      <c r="G60" s="29">
        <v>1</v>
      </c>
      <c r="H60" s="29">
        <v>1</v>
      </c>
      <c r="I60" s="27">
        <v>0</v>
      </c>
      <c r="J60" s="28">
        <v>0</v>
      </c>
      <c r="N60" s="4" t="s">
        <v>2</v>
      </c>
      <c r="O60" s="2">
        <v>54</v>
      </c>
      <c r="P60" s="38">
        <v>2730.3</v>
      </c>
      <c r="Q60" s="39">
        <v>1427.5</v>
      </c>
      <c r="R60" s="39">
        <v>1094.9</v>
      </c>
      <c r="S60" s="39">
        <v>1221.9</v>
      </c>
      <c r="T60" s="39">
        <v>334.16</v>
      </c>
      <c r="U60" s="40">
        <v>334.65</v>
      </c>
      <c r="W60" s="2"/>
      <c r="X60" s="2"/>
      <c r="Y60" s="4" t="s">
        <v>2</v>
      </c>
      <c r="Z60" s="2">
        <v>54</v>
      </c>
      <c r="AA60" s="38">
        <v>5766.8</v>
      </c>
      <c r="AB60" s="39">
        <v>1548.4</v>
      </c>
      <c r="AC60" s="39">
        <v>1773.8</v>
      </c>
      <c r="AD60" s="39">
        <v>2206.6</v>
      </c>
      <c r="AE60" s="39">
        <v>338.68</v>
      </c>
      <c r="AF60" s="40">
        <v>485.45</v>
      </c>
    </row>
    <row r="61" spans="3:32" ht="13.5" customHeight="1">
      <c r="C61" s="4" t="s">
        <v>13</v>
      </c>
      <c r="D61" s="2">
        <v>23</v>
      </c>
      <c r="E61" s="32">
        <v>0</v>
      </c>
      <c r="F61" s="33">
        <v>0</v>
      </c>
      <c r="G61" s="33">
        <v>1</v>
      </c>
      <c r="H61" s="33">
        <v>1</v>
      </c>
      <c r="I61" s="33">
        <v>1</v>
      </c>
      <c r="J61" s="34">
        <v>0</v>
      </c>
      <c r="L61" s="4" t="s">
        <v>11</v>
      </c>
      <c r="M61" s="4" t="s">
        <v>24</v>
      </c>
      <c r="N61" s="2" t="s">
        <v>1</v>
      </c>
      <c r="O61" s="2">
        <v>55</v>
      </c>
      <c r="P61" s="38">
        <v>3.1223</v>
      </c>
      <c r="Q61" s="39">
        <v>1.1681</v>
      </c>
      <c r="R61" s="39">
        <v>1.0349</v>
      </c>
      <c r="S61" s="39">
        <v>1.5576</v>
      </c>
      <c r="T61" s="39">
        <v>0.23378</v>
      </c>
      <c r="U61" s="40">
        <v>0.24266</v>
      </c>
      <c r="W61" s="4" t="s">
        <v>12</v>
      </c>
      <c r="X61" s="2" t="s">
        <v>30</v>
      </c>
      <c r="Y61" s="2" t="s">
        <v>1</v>
      </c>
      <c r="Z61" s="2">
        <v>55</v>
      </c>
      <c r="AA61" s="38">
        <v>3.2666</v>
      </c>
      <c r="AB61" s="39">
        <v>0.62249</v>
      </c>
      <c r="AC61" s="39">
        <v>0.64742</v>
      </c>
      <c r="AD61" s="39">
        <v>3.0848</v>
      </c>
      <c r="AE61" s="39">
        <v>0.2065</v>
      </c>
      <c r="AF61" s="40">
        <v>0.30504</v>
      </c>
    </row>
    <row r="62" spans="14:32" ht="13.5" customHeight="1">
      <c r="N62" s="4" t="s">
        <v>2</v>
      </c>
      <c r="O62" s="2">
        <v>56</v>
      </c>
      <c r="P62" s="38">
        <v>24</v>
      </c>
      <c r="Q62" s="39">
        <v>24</v>
      </c>
      <c r="R62" s="39">
        <v>24</v>
      </c>
      <c r="S62" s="39">
        <v>24</v>
      </c>
      <c r="T62" s="39">
        <v>24</v>
      </c>
      <c r="U62" s="40">
        <v>24</v>
      </c>
      <c r="W62" s="2"/>
      <c r="X62" s="2"/>
      <c r="Y62" s="4" t="s">
        <v>2</v>
      </c>
      <c r="Z62" s="2">
        <v>56</v>
      </c>
      <c r="AA62" s="38">
        <v>24</v>
      </c>
      <c r="AB62" s="39">
        <v>24</v>
      </c>
      <c r="AC62" s="39">
        <v>24</v>
      </c>
      <c r="AD62" s="39">
        <v>24</v>
      </c>
      <c r="AE62" s="39">
        <v>24</v>
      </c>
      <c r="AF62" s="40">
        <v>24</v>
      </c>
    </row>
    <row r="63" spans="13:32" ht="13.5" customHeight="1">
      <c r="M63" s="4" t="s">
        <v>25</v>
      </c>
      <c r="N63" s="2" t="s">
        <v>1</v>
      </c>
      <c r="O63" s="2">
        <v>57</v>
      </c>
      <c r="P63" s="38">
        <v>44.05</v>
      </c>
      <c r="Q63" s="39">
        <v>20.902</v>
      </c>
      <c r="R63" s="39">
        <v>8.6156</v>
      </c>
      <c r="S63" s="39">
        <v>33.143</v>
      </c>
      <c r="T63" s="39">
        <v>7.4333</v>
      </c>
      <c r="U63" s="40">
        <v>3.0652</v>
      </c>
      <c r="W63" s="2"/>
      <c r="X63" s="4" t="s">
        <v>19</v>
      </c>
      <c r="Y63" s="2" t="s">
        <v>1</v>
      </c>
      <c r="Z63" s="2">
        <v>57</v>
      </c>
      <c r="AA63" s="38">
        <v>22.97</v>
      </c>
      <c r="AB63" s="39">
        <v>5.779</v>
      </c>
      <c r="AC63" s="39">
        <v>2.1861</v>
      </c>
      <c r="AD63" s="39">
        <v>387.89</v>
      </c>
      <c r="AE63" s="39">
        <v>6.4081</v>
      </c>
      <c r="AF63" s="40">
        <v>7.0764</v>
      </c>
    </row>
    <row r="64" spans="14:32" ht="13.5" customHeight="1">
      <c r="N64" s="4" t="s">
        <v>2</v>
      </c>
      <c r="O64" s="2">
        <v>58</v>
      </c>
      <c r="P64" s="38">
        <v>0.5404</v>
      </c>
      <c r="Q64" s="39">
        <v>0.5059</v>
      </c>
      <c r="R64" s="39">
        <v>0.6415</v>
      </c>
      <c r="S64" s="39">
        <v>0.4727</v>
      </c>
      <c r="T64" s="39">
        <v>0.4451</v>
      </c>
      <c r="U64" s="40">
        <v>0.6053</v>
      </c>
      <c r="W64" s="2"/>
      <c r="X64" s="2"/>
      <c r="Y64" s="4" t="s">
        <v>2</v>
      </c>
      <c r="Z64" s="2">
        <v>58</v>
      </c>
      <c r="AA64" s="38">
        <v>0.6885</v>
      </c>
      <c r="AB64" s="39">
        <v>0.6534</v>
      </c>
      <c r="AC64" s="39">
        <v>0.8157</v>
      </c>
      <c r="AD64" s="39">
        <v>0.2246</v>
      </c>
      <c r="AE64" s="39">
        <v>0.4809</v>
      </c>
      <c r="AF64" s="40">
        <v>0.5176</v>
      </c>
    </row>
    <row r="65" spans="13:32" ht="13.5" customHeight="1">
      <c r="M65" s="4" t="s">
        <v>20</v>
      </c>
      <c r="N65" s="2" t="s">
        <v>1</v>
      </c>
      <c r="O65" s="2">
        <v>59</v>
      </c>
      <c r="P65" s="38">
        <v>0.34535</v>
      </c>
      <c r="Q65" s="39">
        <v>0.11165</v>
      </c>
      <c r="R65" s="39">
        <v>0.20346</v>
      </c>
      <c r="S65" s="39">
        <v>0.12184</v>
      </c>
      <c r="T65" s="39">
        <v>0.019954</v>
      </c>
      <c r="U65" s="40">
        <v>0.048936</v>
      </c>
      <c r="W65" s="2"/>
      <c r="X65" s="4" t="s">
        <v>20</v>
      </c>
      <c r="Y65" s="2" t="s">
        <v>1</v>
      </c>
      <c r="Z65" s="2">
        <v>59</v>
      </c>
      <c r="AA65" s="38">
        <v>0.89756</v>
      </c>
      <c r="AB65" s="39">
        <v>0.15511</v>
      </c>
      <c r="AC65" s="39">
        <v>0.32659</v>
      </c>
      <c r="AD65" s="39">
        <v>0.068947</v>
      </c>
      <c r="AE65" s="39">
        <v>0.025845</v>
      </c>
      <c r="AF65" s="40">
        <v>0.043073</v>
      </c>
    </row>
    <row r="66" spans="14:32" ht="13.5" customHeight="1">
      <c r="N66" s="4" t="s">
        <v>2</v>
      </c>
      <c r="O66" s="2">
        <v>60</v>
      </c>
      <c r="P66" s="38">
        <v>2937.2</v>
      </c>
      <c r="Q66" s="39">
        <v>1090.4</v>
      </c>
      <c r="R66" s="39">
        <v>1137.1</v>
      </c>
      <c r="S66" s="39">
        <v>1359.1</v>
      </c>
      <c r="T66" s="39">
        <v>248.77</v>
      </c>
      <c r="U66" s="40">
        <v>319.1</v>
      </c>
      <c r="W66" s="2"/>
      <c r="X66" s="2"/>
      <c r="Y66" s="4" t="s">
        <v>2</v>
      </c>
      <c r="Z66" s="2">
        <v>60</v>
      </c>
      <c r="AA66" s="38">
        <v>4060.9</v>
      </c>
      <c r="AB66" s="39">
        <v>822.75</v>
      </c>
      <c r="AC66" s="39">
        <v>737.88</v>
      </c>
      <c r="AD66" s="39">
        <v>2380.3</v>
      </c>
      <c r="AE66" s="39">
        <v>278.99</v>
      </c>
      <c r="AF66" s="40">
        <v>401.44</v>
      </c>
    </row>
    <row r="67" spans="12:32" ht="13.5" customHeight="1">
      <c r="L67" s="4" t="s">
        <v>12</v>
      </c>
      <c r="M67" s="2" t="s">
        <v>30</v>
      </c>
      <c r="N67" s="2" t="s">
        <v>1</v>
      </c>
      <c r="O67" s="2">
        <v>61</v>
      </c>
      <c r="P67" s="38">
        <v>2.0767</v>
      </c>
      <c r="Q67" s="39">
        <v>0.62249</v>
      </c>
      <c r="R67" s="39">
        <v>0.64742</v>
      </c>
      <c r="S67" s="39">
        <v>1.4728</v>
      </c>
      <c r="T67" s="39">
        <v>0.2065</v>
      </c>
      <c r="U67" s="40">
        <v>0.30504</v>
      </c>
      <c r="W67" s="4" t="s">
        <v>13</v>
      </c>
      <c r="X67" s="2" t="s">
        <v>30</v>
      </c>
      <c r="Y67" s="2" t="s">
        <v>1</v>
      </c>
      <c r="Z67" s="2">
        <v>61</v>
      </c>
      <c r="AA67" s="38">
        <v>3.498</v>
      </c>
      <c r="AB67" s="39">
        <v>1.1356</v>
      </c>
      <c r="AC67" s="39">
        <v>0.66346</v>
      </c>
      <c r="AD67" s="39">
        <v>1.8842</v>
      </c>
      <c r="AE67" s="39">
        <v>0.28806</v>
      </c>
      <c r="AF67" s="40">
        <v>0.44555</v>
      </c>
    </row>
    <row r="68" spans="14:32" ht="13.5" customHeight="1">
      <c r="N68" s="4" t="s">
        <v>2</v>
      </c>
      <c r="O68" s="2">
        <v>62</v>
      </c>
      <c r="P68" s="38">
        <v>24</v>
      </c>
      <c r="Q68" s="39">
        <v>24</v>
      </c>
      <c r="R68" s="39">
        <v>24</v>
      </c>
      <c r="S68" s="39">
        <v>24</v>
      </c>
      <c r="T68" s="39">
        <v>24</v>
      </c>
      <c r="U68" s="40">
        <v>24</v>
      </c>
      <c r="W68" s="2"/>
      <c r="X68" s="2"/>
      <c r="Y68" s="4" t="s">
        <v>2</v>
      </c>
      <c r="Z68" s="2">
        <v>62</v>
      </c>
      <c r="AA68" s="38">
        <v>24</v>
      </c>
      <c r="AB68" s="39">
        <v>24</v>
      </c>
      <c r="AC68" s="39">
        <v>24</v>
      </c>
      <c r="AD68" s="39">
        <v>24</v>
      </c>
      <c r="AE68" s="39">
        <v>24</v>
      </c>
      <c r="AF68" s="40">
        <v>24</v>
      </c>
    </row>
    <row r="69" spans="13:32" ht="13.5" customHeight="1">
      <c r="M69" s="4" t="s">
        <v>19</v>
      </c>
      <c r="N69" s="2" t="s">
        <v>1</v>
      </c>
      <c r="O69" s="2">
        <v>63</v>
      </c>
      <c r="P69" s="38">
        <v>14.724</v>
      </c>
      <c r="Q69" s="39">
        <v>5.779</v>
      </c>
      <c r="R69" s="39">
        <v>2.1861</v>
      </c>
      <c r="S69" s="39">
        <v>188.3</v>
      </c>
      <c r="T69" s="39">
        <v>6.4081</v>
      </c>
      <c r="U69" s="40">
        <v>7.0764</v>
      </c>
      <c r="W69" s="2"/>
      <c r="X69" s="4" t="s">
        <v>31</v>
      </c>
      <c r="Y69" s="2" t="s">
        <v>1</v>
      </c>
      <c r="Z69" s="2">
        <v>63</v>
      </c>
      <c r="AA69" s="38">
        <v>31.45</v>
      </c>
      <c r="AB69" s="39">
        <v>11.82</v>
      </c>
      <c r="AC69" s="39">
        <v>1.5035</v>
      </c>
      <c r="AD69" s="39">
        <v>16.489</v>
      </c>
      <c r="AE69" s="39">
        <v>5.0863</v>
      </c>
      <c r="AF69" s="40">
        <v>4.7545</v>
      </c>
    </row>
    <row r="70" spans="14:32" ht="13.5" customHeight="1">
      <c r="N70" s="4" t="s">
        <v>2</v>
      </c>
      <c r="O70" s="2">
        <v>64</v>
      </c>
      <c r="P70" s="38">
        <v>0.6885</v>
      </c>
      <c r="Q70" s="39">
        <v>0.6534</v>
      </c>
      <c r="R70" s="39">
        <v>0.8157</v>
      </c>
      <c r="S70" s="39">
        <v>0.2246</v>
      </c>
      <c r="T70" s="39">
        <v>0.4809</v>
      </c>
      <c r="U70" s="40">
        <v>0.5176</v>
      </c>
      <c r="W70" s="2"/>
      <c r="X70" s="2"/>
      <c r="Y70" s="4" t="s">
        <v>2</v>
      </c>
      <c r="Z70" s="2">
        <v>64</v>
      </c>
      <c r="AA70" s="38">
        <v>0.6488</v>
      </c>
      <c r="AB70" s="39">
        <v>0.6297</v>
      </c>
      <c r="AC70" s="39">
        <v>0.8796</v>
      </c>
      <c r="AD70" s="39">
        <v>0.655</v>
      </c>
      <c r="AE70" s="39">
        <v>0.5628</v>
      </c>
      <c r="AF70" s="40">
        <v>0.6355</v>
      </c>
    </row>
    <row r="71" spans="13:32" ht="13.5" customHeight="1">
      <c r="M71" s="4" t="s">
        <v>20</v>
      </c>
      <c r="N71" s="2" t="s">
        <v>1</v>
      </c>
      <c r="O71" s="2">
        <v>65</v>
      </c>
      <c r="P71" s="38">
        <v>0.57535</v>
      </c>
      <c r="Q71" s="39">
        <v>0.15511</v>
      </c>
      <c r="R71" s="39">
        <v>0.32659</v>
      </c>
      <c r="S71" s="39">
        <v>0.03347</v>
      </c>
      <c r="T71" s="39">
        <v>0.025845</v>
      </c>
      <c r="U71" s="40">
        <v>0.043073</v>
      </c>
      <c r="W71" s="2"/>
      <c r="X71" s="2" t="s">
        <v>33</v>
      </c>
      <c r="Y71" s="2" t="s">
        <v>1</v>
      </c>
      <c r="Z71" s="2">
        <v>65</v>
      </c>
      <c r="AA71" s="38">
        <v>0.62981</v>
      </c>
      <c r="AB71" s="39">
        <v>0.19014</v>
      </c>
      <c r="AC71" s="39">
        <v>0.40137</v>
      </c>
      <c r="AD71" s="39">
        <v>0.35447</v>
      </c>
      <c r="AE71" s="39">
        <v>0.0377</v>
      </c>
      <c r="AF71" s="40">
        <v>0.081751</v>
      </c>
    </row>
    <row r="72" spans="14:32" ht="13.5" customHeight="1">
      <c r="N72" s="4" t="s">
        <v>2</v>
      </c>
      <c r="O72" s="2">
        <v>66</v>
      </c>
      <c r="P72" s="38">
        <v>2603</v>
      </c>
      <c r="Q72" s="39">
        <v>822.75</v>
      </c>
      <c r="R72" s="39">
        <v>737.88</v>
      </c>
      <c r="S72" s="39">
        <v>1155.5</v>
      </c>
      <c r="T72" s="39">
        <v>278.99</v>
      </c>
      <c r="U72" s="40">
        <v>401.44</v>
      </c>
      <c r="W72" s="2"/>
      <c r="X72" s="2"/>
      <c r="Y72" s="4" t="s">
        <v>2</v>
      </c>
      <c r="Z72" s="2">
        <v>66</v>
      </c>
      <c r="AA72" s="41">
        <v>6818.4</v>
      </c>
      <c r="AB72" s="42">
        <v>2236.4</v>
      </c>
      <c r="AC72" s="42">
        <v>1098.8</v>
      </c>
      <c r="AD72" s="42">
        <v>3734.1</v>
      </c>
      <c r="AE72" s="42">
        <v>585.74</v>
      </c>
      <c r="AF72" s="43">
        <v>937.8</v>
      </c>
    </row>
    <row r="73" spans="12:21" ht="13.5" customHeight="1">
      <c r="L73" s="4" t="s">
        <v>13</v>
      </c>
      <c r="M73" s="4" t="s">
        <v>24</v>
      </c>
      <c r="N73" s="2" t="s">
        <v>1</v>
      </c>
      <c r="O73" s="2">
        <v>67</v>
      </c>
      <c r="P73" s="38">
        <v>2.7675</v>
      </c>
      <c r="Q73" s="39">
        <v>1.35</v>
      </c>
      <c r="R73" s="39">
        <v>0.67659</v>
      </c>
      <c r="S73" s="39">
        <v>1.1863</v>
      </c>
      <c r="T73" s="39">
        <v>0.34015</v>
      </c>
      <c r="U73" s="40">
        <v>0.51456</v>
      </c>
    </row>
    <row r="74" spans="14:21" ht="13.5" customHeight="1">
      <c r="N74" s="4" t="s">
        <v>2</v>
      </c>
      <c r="O74" s="2">
        <v>68</v>
      </c>
      <c r="P74" s="38">
        <v>24</v>
      </c>
      <c r="Q74" s="39">
        <v>24</v>
      </c>
      <c r="R74" s="39">
        <v>24</v>
      </c>
      <c r="S74" s="39">
        <v>24</v>
      </c>
      <c r="T74" s="39">
        <v>24</v>
      </c>
      <c r="U74" s="40">
        <v>24</v>
      </c>
    </row>
    <row r="75" spans="13:21" ht="13.5" customHeight="1">
      <c r="M75" s="4" t="s">
        <v>25</v>
      </c>
      <c r="N75" s="2" t="s">
        <v>1</v>
      </c>
      <c r="O75" s="2">
        <v>69</v>
      </c>
      <c r="P75" s="38">
        <v>21.107</v>
      </c>
      <c r="Q75" s="39">
        <v>11.82</v>
      </c>
      <c r="R75" s="39">
        <v>1.5035</v>
      </c>
      <c r="S75" s="39">
        <v>9.06</v>
      </c>
      <c r="T75" s="39">
        <v>5.0863</v>
      </c>
      <c r="U75" s="40">
        <v>4.7545</v>
      </c>
    </row>
    <row r="76" spans="14:21" ht="13.5" customHeight="1">
      <c r="N76" s="4" t="s">
        <v>2</v>
      </c>
      <c r="O76" s="2">
        <v>70</v>
      </c>
      <c r="P76" s="38">
        <v>0.6488</v>
      </c>
      <c r="Q76" s="39">
        <v>0.6297</v>
      </c>
      <c r="R76" s="39">
        <v>0.8796</v>
      </c>
      <c r="S76" s="39">
        <v>0.655</v>
      </c>
      <c r="T76" s="39">
        <v>0.5628</v>
      </c>
      <c r="U76" s="40">
        <v>0.6355</v>
      </c>
    </row>
    <row r="77" spans="13:21" ht="13.5" customHeight="1">
      <c r="M77" s="4" t="s">
        <v>20</v>
      </c>
      <c r="N77" s="2" t="s">
        <v>1</v>
      </c>
      <c r="O77" s="2">
        <v>71</v>
      </c>
      <c r="P77" s="38">
        <v>0.53918</v>
      </c>
      <c r="Q77" s="39">
        <v>0.24578</v>
      </c>
      <c r="R77" s="39">
        <v>0.4363</v>
      </c>
      <c r="S77" s="39">
        <v>0.24738</v>
      </c>
      <c r="T77" s="39">
        <v>0.051045</v>
      </c>
      <c r="U77" s="40">
        <v>0.10525</v>
      </c>
    </row>
    <row r="78" spans="14:21" ht="13.5" customHeight="1">
      <c r="N78" s="4" t="s">
        <v>2</v>
      </c>
      <c r="O78" s="2">
        <v>72</v>
      </c>
      <c r="P78" s="41">
        <v>2918.7</v>
      </c>
      <c r="Q78" s="42">
        <v>1445.4</v>
      </c>
      <c r="R78" s="42">
        <v>597.25</v>
      </c>
      <c r="S78" s="42">
        <v>1303</v>
      </c>
      <c r="T78" s="42">
        <v>396.54</v>
      </c>
      <c r="U78" s="43">
        <v>603.67</v>
      </c>
    </row>
  </sheetData>
  <sheetProtection/>
  <mergeCells count="6">
    <mergeCell ref="O3:U3"/>
    <mergeCell ref="Z3:AF3"/>
    <mergeCell ref="P4:R4"/>
    <mergeCell ref="S4:U4"/>
    <mergeCell ref="AA4:AC4"/>
    <mergeCell ref="AD4:AF4"/>
  </mergeCells>
  <printOptions/>
  <pageMargins left="0.5118110236220472" right="0" top="0.5511811023622047" bottom="0.35433070866141736"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S.Tojyo</dc:creator>
  <cp:keywords/>
  <dc:description/>
  <cp:lastModifiedBy>k-jimu01</cp:lastModifiedBy>
  <cp:lastPrinted>2017-06-15T23:58:45Z</cp:lastPrinted>
  <dcterms:created xsi:type="dcterms:W3CDTF">2010-06-17T07:49:20Z</dcterms:created>
  <dcterms:modified xsi:type="dcterms:W3CDTF">2017-09-21T04:39:29Z</dcterms:modified>
  <cp:category/>
  <cp:version/>
  <cp:contentType/>
  <cp:contentStatus/>
</cp:coreProperties>
</file>